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4"/>
  </bookViews>
  <sheets>
    <sheet name="付表1-1" sheetId="1" r:id="rId1"/>
    <sheet name="付表1-2" sheetId="2" r:id="rId2"/>
    <sheet name="付表1-3" sheetId="3" r:id="rId3"/>
    <sheet name="付表1-4" sheetId="4" r:id="rId4"/>
    <sheet name="付表2-1" sheetId="5" r:id="rId5"/>
    <sheet name="付表2-2" sheetId="6" r:id="rId6"/>
    <sheet name="付表2-3" sheetId="7" r:id="rId7"/>
  </sheets>
  <definedNames>
    <definedName name="_xlnm.Print_Area" localSheetId="1">'付表1-2'!$A$1:$I$51</definedName>
    <definedName name="_xlnm.Print_Area" localSheetId="2">'付表1-3'!$A$1:$I$51</definedName>
    <definedName name="_xlnm.Print_Area" localSheetId="3">'付表1-4'!$A$1:$I$51</definedName>
    <definedName name="_xlnm.Print_Area" localSheetId="4">'付表2-1'!$A$1:$J$63</definedName>
    <definedName name="_xlnm.Print_Area" localSheetId="5">'付表2-2'!$A$1:$J$62</definedName>
    <definedName name="_xlnm.Print_Area" localSheetId="6">'付表2-3'!$A$1:$J$62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<sst xmlns="http://schemas.openxmlformats.org/spreadsheetml/2006/main" count="856" uniqueCount="181">
  <si>
    <t>　付表２－１　市町村別事業所数、従業者数、年間販売額（総数）</t>
  </si>
  <si>
    <t>(単位：人、百万円、％）</t>
  </si>
  <si>
    <t>事業所数</t>
  </si>
  <si>
    <t>従業員数</t>
  </si>
  <si>
    <t>年間販売額</t>
  </si>
  <si>
    <t>１４年</t>
  </si>
  <si>
    <t>１１年</t>
  </si>
  <si>
    <t>増減率</t>
  </si>
  <si>
    <t>県計</t>
  </si>
  <si>
    <t>市計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</si>
  <si>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</si>
  <si>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</si>
  <si>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</si>
  <si>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</si>
  <si>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</si>
  <si>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</si>
  <si>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</si>
  <si>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</si>
  <si>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</si>
  <si>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町村計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</si>
  <si>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</si>
  <si>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</si>
  <si>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</si>
  <si>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</si>
  <si>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</si>
  <si>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</si>
  <si>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</si>
  <si>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</si>
  <si>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</si>
  <si>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</si>
  <si>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</si>
  <si>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</si>
  <si>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</si>
  <si>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</si>
  <si>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</si>
  <si>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</si>
  <si>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</si>
  <si>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</si>
  <si>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</si>
  <si>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</si>
  <si>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</si>
  <si>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</si>
  <si>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</si>
  <si>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</si>
  <si>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</si>
  <si>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</si>
  <si>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</si>
  <si>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</si>
  <si>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</si>
  <si>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</si>
  <si>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</si>
  <si>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</si>
  <si>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</si>
  <si>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</si>
  <si>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</si>
  <si>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</si>
  <si>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</si>
  <si>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</si>
  <si>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</si>
  <si>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</si>
  <si>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</si>
  <si>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</si>
  <si>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</si>
  <si>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</si>
  <si>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　付表２－２　市町村別事業所数、従業者数、年間販売額（卸売業）</t>
  </si>
  <si>
    <t>X</t>
  </si>
  <si>
    <t>Ｘ</t>
  </si>
  <si>
    <t>-</t>
  </si>
  <si>
    <t>付表２－３　市町村別事業所数、従業者数、年間販売額（小売業）</t>
  </si>
  <si>
    <t>付表１－１　都道府県別事業所数、従業者数、年間販売額</t>
  </si>
  <si>
    <t>(単位：人、百万円）</t>
  </si>
  <si>
    <t>都道府県</t>
  </si>
  <si>
    <t>従業者数</t>
  </si>
  <si>
    <t>年間販売額</t>
  </si>
  <si>
    <t xml:space="preserve"> 全　国</t>
  </si>
  <si>
    <t xml:space="preserve"> 北海道</t>
  </si>
  <si>
    <t xml:space="preserve"> 青森県</t>
  </si>
  <si>
    <t xml:space="preserve"> 岩手県</t>
  </si>
  <si>
    <t xml:space="preserve"> 宮城県</t>
  </si>
  <si>
    <t xml:space="preserve"> 秋田県</t>
  </si>
  <si>
    <t xml:space="preserve"> 山形県</t>
  </si>
  <si>
    <t xml:space="preserve"> 福島県</t>
  </si>
  <si>
    <t xml:space="preserve"> 茨城県</t>
  </si>
  <si>
    <t xml:space="preserve"> 栃木県</t>
  </si>
  <si>
    <t xml:space="preserve"> 群馬県</t>
  </si>
  <si>
    <t xml:space="preserve"> 埼玉県</t>
  </si>
  <si>
    <t xml:space="preserve"> 千葉県</t>
  </si>
  <si>
    <t xml:space="preserve"> 東京都</t>
  </si>
  <si>
    <t xml:space="preserve"> 神奈川県</t>
  </si>
  <si>
    <t xml:space="preserve"> 新潟県</t>
  </si>
  <si>
    <t xml:space="preserve"> 富山県</t>
  </si>
  <si>
    <t xml:space="preserve"> 石川県</t>
  </si>
  <si>
    <t xml:space="preserve"> 福井県</t>
  </si>
  <si>
    <t xml:space="preserve"> 山梨県</t>
  </si>
  <si>
    <t xml:space="preserve"> 長野県</t>
  </si>
  <si>
    <t xml:space="preserve"> 岐阜県</t>
  </si>
  <si>
    <t xml:space="preserve"> 静岡県</t>
  </si>
  <si>
    <t xml:space="preserve"> 愛知県</t>
  </si>
  <si>
    <t xml:space="preserve"> 三重県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</si>
  <si>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</si>
  <si>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</si>
  <si>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</si>
  <si>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</si>
  <si>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</si>
  <si>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</si>
  <si>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鳥取県</t>
  </si>
  <si>
    <t xml:space="preserve"> 島根県</t>
  </si>
  <si>
    <t xml:space="preserve"> 岡山県</t>
  </si>
  <si>
    <t xml:space="preserve"> 広島県</t>
  </si>
  <si>
    <t xml:space="preserve"> 山口県</t>
  </si>
  <si>
    <t xml:space="preserve"> 徳島県</t>
  </si>
  <si>
    <t xml:space="preserve"> 香川県</t>
  </si>
  <si>
    <t xml:space="preserve"> 愛媛県</t>
  </si>
  <si>
    <t xml:space="preserve"> 高知県</t>
  </si>
  <si>
    <t xml:space="preserve"> 福岡県</t>
  </si>
  <si>
    <t xml:space="preserve"> 佐賀県</t>
  </si>
  <si>
    <t xml:space="preserve"> 長崎県</t>
  </si>
  <si>
    <t xml:space="preserve"> 熊本県</t>
  </si>
  <si>
    <t xml:space="preserve"> 大分県</t>
  </si>
  <si>
    <t xml:space="preserve"> 宮崎県</t>
  </si>
  <si>
    <t xml:space="preserve"> 鹿児島県</t>
  </si>
  <si>
    <t xml:space="preserve"> 沖　縄</t>
  </si>
  <si>
    <t>付表１－２　都道府県別事業所数、従業者数、年間販売額（総数）及び順位</t>
  </si>
  <si>
    <t>（単位：人、百万円）</t>
  </si>
  <si>
    <t>順位</t>
  </si>
  <si>
    <t>都道府県名</t>
  </si>
  <si>
    <t>従業者数</t>
  </si>
  <si>
    <t>年間販売額</t>
  </si>
  <si>
    <t>全　国</t>
  </si>
  <si>
    <t>東京都</t>
  </si>
  <si>
    <t>大阪府</t>
  </si>
  <si>
    <t>愛知県</t>
  </si>
  <si>
    <t>神奈川県</t>
  </si>
  <si>
    <t>福岡県</t>
  </si>
  <si>
    <t>北海道</t>
  </si>
  <si>
    <t>兵庫県</t>
  </si>
  <si>
    <t>埼玉県</t>
  </si>
  <si>
    <t>千葉県</t>
  </si>
  <si>
    <t>広島県</t>
  </si>
  <si>
    <t>静岡県</t>
  </si>
  <si>
    <t>京都府</t>
  </si>
  <si>
    <t>宮城県</t>
  </si>
  <si>
    <t>新潟県</t>
  </si>
  <si>
    <t>茨城県</t>
  </si>
  <si>
    <t>岐阜県</t>
  </si>
  <si>
    <t>長野県</t>
  </si>
  <si>
    <t>栃木県</t>
  </si>
  <si>
    <t>福島県</t>
  </si>
  <si>
    <t>群馬県</t>
  </si>
  <si>
    <t>岡山県</t>
  </si>
  <si>
    <t>鹿児島県</t>
  </si>
  <si>
    <t>熊本県</t>
  </si>
  <si>
    <t>三重県</t>
  </si>
  <si>
    <t>香川県</t>
  </si>
  <si>
    <t>石川県</t>
  </si>
  <si>
    <t>長崎県</t>
  </si>
  <si>
    <t>山口県</t>
  </si>
  <si>
    <t>愛媛県</t>
  </si>
  <si>
    <t>青森県</t>
  </si>
  <si>
    <t>岩手県</t>
  </si>
  <si>
    <t>沖縄県</t>
  </si>
  <si>
    <t>山形県</t>
  </si>
  <si>
    <t>大分県</t>
  </si>
  <si>
    <t>富山県</t>
  </si>
  <si>
    <t>滋賀県</t>
  </si>
  <si>
    <t>秋田県</t>
  </si>
  <si>
    <t>宮崎県</t>
  </si>
  <si>
    <t>和歌山県</t>
  </si>
  <si>
    <t>奈良県</t>
  </si>
  <si>
    <t>福井県</t>
  </si>
  <si>
    <t>徳島県</t>
  </si>
  <si>
    <t>佐賀県</t>
  </si>
  <si>
    <t>山梨県</t>
  </si>
  <si>
    <t>高知県</t>
  </si>
  <si>
    <t>島根県</t>
  </si>
  <si>
    <t>鳥取県</t>
  </si>
  <si>
    <t xml:space="preserve"> </t>
  </si>
  <si>
    <t>付表１－３　都道府県別事業所数、従業者数、年間販売額（卸売業）及び順位</t>
  </si>
  <si>
    <t>付表１－４　都道府県別事業所数、従業者数、年間販売額（小売業）及び順位</t>
  </si>
  <si>
    <t>福岡県</t>
  </si>
  <si>
    <t>沖縄県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</si>
</sst>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[&lt;=999]000;[&lt;=99999]000\-00;000\-0000"/>
    <numFmt numFmtId="179" formatCode="0.0;&quot;△ &quot;0.0"/>
    <numFmt numFmtId="180" formatCode="#,##0.0;&quot;△ &quot;#,##0.0"/>
    <numFmt numFmtId="181" formatCode="#,##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0" applyNumberFormat="1" applyFont="1" applyBorder="1" applyAlignment="1">
      <alignment horizontal="left" vertical="center"/>
    </xf>
    <xf numFmtId="38" fontId="4" fillId="0" borderId="0" xfId="17" applyFont="1" applyBorder="1" applyAlignment="1">
      <alignment/>
    </xf>
    <xf numFmtId="176" fontId="5" fillId="0" borderId="0" xfId="0" applyNumberFormat="1" applyFont="1" applyBorder="1" applyAlignment="1">
      <alignment horizontal="centerContinuous" vertical="center"/>
    </xf>
    <xf numFmtId="176" fontId="5" fillId="0" borderId="1" xfId="0" applyNumberFormat="1" applyFont="1" applyBorder="1" applyAlignment="1">
      <alignment horizontal="centerContinuous" vertical="center"/>
    </xf>
    <xf numFmtId="176" fontId="5" fillId="0" borderId="2" xfId="0" applyNumberFormat="1" applyFont="1" applyBorder="1" applyAlignment="1">
      <alignment horizontal="centerContinuous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80" fontId="4" fillId="0" borderId="3" xfId="17" applyNumberFormat="1" applyFont="1" applyBorder="1" applyAlignment="1">
      <alignment/>
    </xf>
    <xf numFmtId="180" fontId="4" fillId="0" borderId="4" xfId="17" applyNumberFormat="1" applyFont="1" applyBorder="1" applyAlignment="1">
      <alignment/>
    </xf>
    <xf numFmtId="176" fontId="6" fillId="0" borderId="5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38" fontId="7" fillId="0" borderId="3" xfId="17" applyFont="1" applyBorder="1" applyAlignment="1">
      <alignment/>
    </xf>
    <xf numFmtId="176" fontId="5" fillId="0" borderId="3" xfId="0" applyNumberFormat="1" applyFont="1" applyBorder="1" applyAlignment="1">
      <alignment vertical="center"/>
    </xf>
    <xf numFmtId="38" fontId="7" fillId="0" borderId="3" xfId="17" applyFont="1" applyBorder="1" applyAlignment="1">
      <alignment horizontal="right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80" fontId="4" fillId="0" borderId="7" xfId="17" applyNumberFormat="1" applyFont="1" applyBorder="1" applyAlignment="1">
      <alignment/>
    </xf>
    <xf numFmtId="38" fontId="7" fillId="0" borderId="7" xfId="17" applyFont="1" applyBorder="1" applyAlignment="1">
      <alignment/>
    </xf>
    <xf numFmtId="38" fontId="7" fillId="0" borderId="7" xfId="17" applyFont="1" applyBorder="1" applyAlignment="1">
      <alignment horizontal="right"/>
    </xf>
    <xf numFmtId="180" fontId="4" fillId="0" borderId="8" xfId="17" applyNumberFormat="1" applyFont="1" applyBorder="1" applyAlignment="1">
      <alignment/>
    </xf>
    <xf numFmtId="180" fontId="4" fillId="0" borderId="4" xfId="17" applyNumberFormat="1" applyFont="1" applyBorder="1" applyAlignment="1">
      <alignment horizontal="right"/>
    </xf>
    <xf numFmtId="176" fontId="6" fillId="0" borderId="3" xfId="0" applyNumberFormat="1" applyFont="1" applyBorder="1" applyAlignment="1">
      <alignment horizontal="right" vertical="center"/>
    </xf>
    <xf numFmtId="180" fontId="4" fillId="0" borderId="3" xfId="17" applyNumberFormat="1" applyFont="1" applyBorder="1" applyAlignment="1">
      <alignment horizontal="right"/>
    </xf>
    <xf numFmtId="180" fontId="4" fillId="0" borderId="7" xfId="17" applyNumberFormat="1" applyFont="1" applyBorder="1" applyAlignment="1">
      <alignment horizontal="right"/>
    </xf>
    <xf numFmtId="180" fontId="4" fillId="0" borderId="8" xfId="17" applyNumberFormat="1" applyFont="1" applyBorder="1" applyAlignment="1">
      <alignment horizontal="right"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9.00390625" defaultRowHeight="13.5"/>
  <cols>
    <col min="1" max="1" width="15.00390625" style="0" customWidth="1"/>
    <col min="2" max="2" width="22.125" style="0" customWidth="1"/>
    <col min="3" max="3" width="20.00390625" style="0" customWidth="1"/>
    <col min="4" max="4" width="22.125" style="0" customWidth="1"/>
  </cols>
  <sheetData>
    <row r="1" spans="1:4" ht="13.5">
      <c r="A1" s="40" t="s">
        <v>69</v>
      </c>
      <c r="B1" s="40"/>
      <c r="C1" s="40"/>
      <c r="D1" s="40"/>
    </row>
    <row r="2" spans="1:4" ht="13.5">
      <c r="A2" s="29"/>
      <c r="B2" s="29"/>
      <c r="C2" s="29" t="s">
        <v>70</v>
      </c>
      <c r="D2" s="29"/>
    </row>
    <row r="3" spans="1:4" s="33" customFormat="1" ht="33" customHeight="1">
      <c r="A3" s="30" t="s">
        <v>71</v>
      </c>
      <c r="B3" s="31" t="s">
        <v>2</v>
      </c>
      <c r="C3" s="32" t="s">
        <v>72</v>
      </c>
      <c r="D3" s="31" t="s">
        <v>73</v>
      </c>
    </row>
    <row r="4" spans="1:4" ht="15" customHeight="1">
      <c r="A4" s="34" t="s">
        <v>74</v>
      </c>
      <c r="B4" s="35">
        <v>1679606</v>
      </c>
      <c r="C4" s="35">
        <v>11974766</v>
      </c>
      <c r="D4" s="35">
        <v>548464125</v>
      </c>
    </row>
    <row r="5" spans="1:4" ht="15" customHeight="1">
      <c r="A5" s="34" t="s">
        <v>75</v>
      </c>
      <c r="B5" s="35">
        <v>66506</v>
      </c>
      <c r="C5" s="36">
        <v>516518</v>
      </c>
      <c r="D5" s="35">
        <v>20247834</v>
      </c>
    </row>
    <row r="6" spans="1:4" ht="15" customHeight="1">
      <c r="A6" s="34" t="s">
        <v>76</v>
      </c>
      <c r="B6" s="35">
        <v>21030</v>
      </c>
      <c r="C6" s="36">
        <v>130458</v>
      </c>
      <c r="D6" s="35">
        <v>3693933</v>
      </c>
    </row>
    <row r="7" spans="1:4" ht="15" customHeight="1">
      <c r="A7" s="34" t="s">
        <v>77</v>
      </c>
      <c r="B7" s="35">
        <v>20295</v>
      </c>
      <c r="C7" s="36">
        <v>118983</v>
      </c>
      <c r="D7" s="35">
        <v>3525821</v>
      </c>
    </row>
    <row r="8" spans="1:4" ht="15" customHeight="1">
      <c r="A8" s="34" t="s">
        <v>78</v>
      </c>
      <c r="B8" s="35">
        <v>32733</v>
      </c>
      <c r="C8" s="36">
        <v>236848</v>
      </c>
      <c r="D8" s="35">
        <v>10933309</v>
      </c>
    </row>
    <row r="9" spans="1:4" ht="15" customHeight="1">
      <c r="A9" s="34" t="s">
        <v>79</v>
      </c>
      <c r="B9" s="35">
        <v>18047</v>
      </c>
      <c r="C9" s="36">
        <v>100238</v>
      </c>
      <c r="D9" s="35">
        <v>2714120</v>
      </c>
    </row>
    <row r="10" spans="1:4" ht="15" customHeight="1">
      <c r="A10" s="34" t="s">
        <v>80</v>
      </c>
      <c r="B10" s="35">
        <v>19121</v>
      </c>
      <c r="C10" s="36">
        <v>107842</v>
      </c>
      <c r="D10" s="35">
        <v>2968623</v>
      </c>
    </row>
    <row r="11" spans="1:4" ht="15" customHeight="1">
      <c r="A11" s="34" t="s">
        <v>81</v>
      </c>
      <c r="B11" s="35">
        <v>29802</v>
      </c>
      <c r="C11" s="36">
        <v>178744</v>
      </c>
      <c r="D11" s="35">
        <v>4898557</v>
      </c>
    </row>
    <row r="12" spans="1:4" ht="15" customHeight="1">
      <c r="A12" s="34" t="s">
        <v>82</v>
      </c>
      <c r="B12" s="35">
        <v>35633</v>
      </c>
      <c r="C12" s="36">
        <v>235483</v>
      </c>
      <c r="D12" s="35">
        <v>6574412</v>
      </c>
    </row>
    <row r="13" spans="1:4" ht="15" customHeight="1">
      <c r="A13" s="34" t="s">
        <v>83</v>
      </c>
      <c r="B13" s="35">
        <v>26936</v>
      </c>
      <c r="C13" s="36">
        <v>171067</v>
      </c>
      <c r="D13" s="35">
        <v>5646460</v>
      </c>
    </row>
    <row r="14" spans="1:4" ht="15" customHeight="1">
      <c r="A14" s="34" t="s">
        <v>84</v>
      </c>
      <c r="B14" s="35">
        <v>27823</v>
      </c>
      <c r="C14" s="36">
        <v>180612</v>
      </c>
      <c r="D14" s="35">
        <v>5362438</v>
      </c>
    </row>
    <row r="15" spans="1:4" ht="15" customHeight="1">
      <c r="A15" s="34" t="s">
        <v>85</v>
      </c>
      <c r="B15" s="35">
        <v>63216</v>
      </c>
      <c r="C15" s="36">
        <v>489542</v>
      </c>
      <c r="D15" s="35">
        <v>15024770</v>
      </c>
    </row>
    <row r="16" spans="1:4" ht="15" customHeight="1">
      <c r="A16" s="34" t="s">
        <v>86</v>
      </c>
      <c r="B16" s="35">
        <v>54686</v>
      </c>
      <c r="C16" s="36">
        <v>430162</v>
      </c>
      <c r="D16" s="35">
        <v>12294183</v>
      </c>
    </row>
    <row r="17" spans="1:4" ht="15" customHeight="1">
      <c r="A17" s="34" t="s">
        <v>87</v>
      </c>
      <c r="B17" s="35">
        <v>176669</v>
      </c>
      <c r="C17" s="36">
        <v>1713852</v>
      </c>
      <c r="D17" s="35">
        <v>176704287</v>
      </c>
    </row>
    <row r="18" spans="1:4" ht="15" customHeight="1">
      <c r="A18" s="34" t="s">
        <v>88</v>
      </c>
      <c r="B18" s="35">
        <v>76460</v>
      </c>
      <c r="C18" s="36">
        <v>632616</v>
      </c>
      <c r="D18" s="35">
        <v>20028848</v>
      </c>
    </row>
    <row r="19" spans="1:4" ht="15" customHeight="1">
      <c r="A19" s="34" t="s">
        <v>89</v>
      </c>
      <c r="B19" s="35">
        <v>38109</v>
      </c>
      <c r="C19" s="36">
        <v>229471</v>
      </c>
      <c r="D19" s="35">
        <v>7330619</v>
      </c>
    </row>
    <row r="20" spans="1:4" ht="15" customHeight="1">
      <c r="A20" s="34" t="s">
        <v>90</v>
      </c>
      <c r="B20" s="35">
        <v>18968</v>
      </c>
      <c r="C20" s="36">
        <v>107992</v>
      </c>
      <c r="D20" s="35">
        <v>3305066</v>
      </c>
    </row>
    <row r="21" spans="1:4" ht="15" customHeight="1">
      <c r="A21" s="34" t="s">
        <v>91</v>
      </c>
      <c r="B21" s="35">
        <v>18379</v>
      </c>
      <c r="C21" s="36">
        <v>117839</v>
      </c>
      <c r="D21" s="35">
        <v>4280880</v>
      </c>
    </row>
    <row r="22" spans="1:4" ht="15" customHeight="1">
      <c r="A22" s="34" t="s">
        <v>92</v>
      </c>
      <c r="B22" s="35">
        <v>13731</v>
      </c>
      <c r="C22" s="36">
        <v>80517</v>
      </c>
      <c r="D22" s="35">
        <v>2315651</v>
      </c>
    </row>
    <row r="23" spans="1:4" ht="15" customHeight="1">
      <c r="A23" s="34" t="s">
        <v>93</v>
      </c>
      <c r="B23" s="35">
        <v>13141</v>
      </c>
      <c r="C23" s="36">
        <v>75420</v>
      </c>
      <c r="D23" s="35">
        <v>1928163</v>
      </c>
    </row>
    <row r="24" spans="1:4" ht="15" customHeight="1">
      <c r="A24" s="34" t="s">
        <v>94</v>
      </c>
      <c r="B24" s="35">
        <v>30731</v>
      </c>
      <c r="C24" s="36">
        <v>197604</v>
      </c>
      <c r="D24" s="35">
        <v>6464420</v>
      </c>
    </row>
    <row r="25" spans="1:4" ht="15" customHeight="1">
      <c r="A25" s="34" t="s">
        <v>95</v>
      </c>
      <c r="B25" s="35">
        <v>30909</v>
      </c>
      <c r="C25" s="36">
        <v>191204</v>
      </c>
      <c r="D25" s="35">
        <v>5234017</v>
      </c>
    </row>
    <row r="26" spans="1:4" ht="15" customHeight="1">
      <c r="A26" s="34" t="s">
        <v>96</v>
      </c>
      <c r="B26" s="35">
        <v>53891</v>
      </c>
      <c r="C26" s="36">
        <v>338914</v>
      </c>
      <c r="D26" s="35">
        <v>11266379</v>
      </c>
    </row>
    <row r="27" spans="1:4" ht="15" customHeight="1">
      <c r="A27" s="34" t="s">
        <v>97</v>
      </c>
      <c r="B27" s="35">
        <v>92110</v>
      </c>
      <c r="C27" s="36">
        <v>734312</v>
      </c>
      <c r="D27" s="35">
        <v>41525491</v>
      </c>
    </row>
    <row r="28" spans="1:4" ht="15" customHeight="1">
      <c r="A28" s="34" t="s">
        <v>98</v>
      </c>
      <c r="B28" s="35">
        <v>24769</v>
      </c>
      <c r="C28" s="36">
        <v>151966</v>
      </c>
      <c r="D28" s="35">
        <v>3828670</v>
      </c>
    </row>
    <row r="29" spans="1:4" ht="15" customHeight="1">
      <c r="A29" s="34" t="s">
        <v>99</v>
      </c>
      <c r="B29" s="35">
        <v>15941</v>
      </c>
      <c r="C29" s="36">
        <v>108903</v>
      </c>
      <c r="D29" s="35">
        <v>2543282</v>
      </c>
    </row>
    <row r="30" spans="1:4" ht="15" customHeight="1">
      <c r="A30" s="34" t="s">
        <v>100</v>
      </c>
      <c r="B30" s="35">
        <v>38196</v>
      </c>
      <c r="C30" s="36">
        <v>257523</v>
      </c>
      <c r="D30" s="35">
        <v>7298154</v>
      </c>
    </row>
    <row r="31" spans="1:4" ht="15" customHeight="1">
      <c r="A31" s="34" t="s">
        <v>101</v>
      </c>
      <c r="B31" s="35">
        <v>126120</v>
      </c>
      <c r="C31" s="36">
        <v>1049502</v>
      </c>
      <c r="D31" s="35">
        <v>63063743</v>
      </c>
    </row>
    <row r="32" spans="1:4" ht="15" customHeight="1">
      <c r="A32" s="34" t="s">
        <v>102</v>
      </c>
      <c r="B32" s="35">
        <v>68451</v>
      </c>
      <c r="C32" s="36">
        <v>453965</v>
      </c>
      <c r="D32" s="35">
        <v>13177565</v>
      </c>
    </row>
    <row r="33" spans="1:4" ht="15" customHeight="1">
      <c r="A33" s="34" t="s">
        <v>103</v>
      </c>
      <c r="B33" s="35">
        <v>14838</v>
      </c>
      <c r="C33" s="36">
        <v>97972</v>
      </c>
      <c r="D33" s="35">
        <v>2096700</v>
      </c>
    </row>
    <row r="34" spans="1:4" ht="15" customHeight="1">
      <c r="A34" s="34" t="s">
        <v>104</v>
      </c>
      <c r="B34" s="35">
        <v>17258</v>
      </c>
      <c r="C34" s="36">
        <v>89961</v>
      </c>
      <c r="D34" s="35">
        <v>1952240</v>
      </c>
    </row>
    <row r="35" spans="1:4" ht="15" customHeight="1">
      <c r="A35" s="34" t="s">
        <v>105</v>
      </c>
      <c r="B35" s="35">
        <v>8886</v>
      </c>
      <c r="C35" s="36">
        <v>55331</v>
      </c>
      <c r="D35" s="35">
        <v>1507277</v>
      </c>
    </row>
    <row r="36" spans="1:4" ht="15" customHeight="1">
      <c r="A36" s="34" t="s">
        <v>106</v>
      </c>
      <c r="B36" s="35">
        <v>12940</v>
      </c>
      <c r="C36" s="36">
        <v>68204</v>
      </c>
      <c r="D36" s="35">
        <v>1705491</v>
      </c>
    </row>
    <row r="37" spans="1:4" ht="15" customHeight="1">
      <c r="A37" s="34" t="s">
        <v>107</v>
      </c>
      <c r="B37" s="35">
        <v>26243</v>
      </c>
      <c r="C37" s="36">
        <v>171028</v>
      </c>
      <c r="D37" s="35">
        <v>5518944</v>
      </c>
    </row>
    <row r="38" spans="1:4" ht="15" customHeight="1">
      <c r="A38" s="34" t="s">
        <v>108</v>
      </c>
      <c r="B38" s="35">
        <v>40708</v>
      </c>
      <c r="C38" s="36">
        <v>289445</v>
      </c>
      <c r="D38" s="35">
        <v>12567940</v>
      </c>
    </row>
    <row r="39" spans="1:4" ht="15" customHeight="1">
      <c r="A39" s="34" t="s">
        <v>109</v>
      </c>
      <c r="B39" s="35">
        <v>23260</v>
      </c>
      <c r="C39" s="36">
        <v>136229</v>
      </c>
      <c r="D39" s="35">
        <v>3595032</v>
      </c>
    </row>
    <row r="40" spans="1:4" ht="15" customHeight="1">
      <c r="A40" s="34" t="s">
        <v>110</v>
      </c>
      <c r="B40" s="35">
        <v>13466</v>
      </c>
      <c r="C40" s="36">
        <v>72347</v>
      </c>
      <c r="D40" s="35">
        <v>1821844</v>
      </c>
    </row>
    <row r="41" spans="1:4" ht="15" customHeight="1">
      <c r="A41" s="34" t="s">
        <v>111</v>
      </c>
      <c r="B41" s="35">
        <v>16259</v>
      </c>
      <c r="C41" s="36">
        <v>102199</v>
      </c>
      <c r="D41" s="35">
        <v>4282163</v>
      </c>
    </row>
    <row r="42" spans="1:4" ht="15" customHeight="1">
      <c r="A42" s="34" t="s">
        <v>112</v>
      </c>
      <c r="B42" s="35">
        <v>23564</v>
      </c>
      <c r="C42" s="36">
        <v>135797</v>
      </c>
      <c r="D42" s="35">
        <v>3923283</v>
      </c>
    </row>
    <row r="43" spans="1:4" ht="15" customHeight="1">
      <c r="A43" s="34" t="s">
        <v>113</v>
      </c>
      <c r="B43" s="35">
        <v>13430</v>
      </c>
      <c r="C43" s="36">
        <v>72645</v>
      </c>
      <c r="D43" s="35">
        <v>1705016</v>
      </c>
    </row>
    <row r="44" spans="1:4" ht="15" customHeight="1">
      <c r="A44" s="34" t="s">
        <v>114</v>
      </c>
      <c r="B44" s="35">
        <v>70641</v>
      </c>
      <c r="C44" s="36">
        <v>502759</v>
      </c>
      <c r="D44" s="35">
        <v>22034564</v>
      </c>
    </row>
    <row r="45" spans="1:4" ht="15" customHeight="1">
      <c r="A45" s="34" t="s">
        <v>115</v>
      </c>
      <c r="B45" s="35">
        <v>13301</v>
      </c>
      <c r="C45" s="36">
        <v>75875</v>
      </c>
      <c r="D45" s="35">
        <v>1875024</v>
      </c>
    </row>
    <row r="46" spans="1:4" ht="15" customHeight="1">
      <c r="A46" s="34" t="s">
        <v>116</v>
      </c>
      <c r="B46" s="35">
        <v>23569</v>
      </c>
      <c r="C46" s="36">
        <v>134487</v>
      </c>
      <c r="D46" s="35">
        <v>3298063</v>
      </c>
    </row>
    <row r="47" spans="1:4" ht="15" customHeight="1">
      <c r="A47" s="34" t="s">
        <v>117</v>
      </c>
      <c r="B47" s="35">
        <v>25696</v>
      </c>
      <c r="C47" s="36">
        <v>162563</v>
      </c>
      <c r="D47" s="35">
        <v>4184779</v>
      </c>
    </row>
    <row r="48" spans="1:4" ht="15" customHeight="1">
      <c r="A48" s="34" t="s">
        <v>118</v>
      </c>
      <c r="B48" s="35">
        <v>18864</v>
      </c>
      <c r="C48" s="36">
        <v>109890</v>
      </c>
      <c r="D48" s="35">
        <v>2695568</v>
      </c>
    </row>
    <row r="49" spans="1:4" ht="15" customHeight="1">
      <c r="A49" s="34" t="s">
        <v>119</v>
      </c>
      <c r="B49" s="35">
        <v>17293</v>
      </c>
      <c r="C49" s="36">
        <v>101842</v>
      </c>
      <c r="D49" s="35">
        <v>2696485</v>
      </c>
    </row>
    <row r="50" spans="1:4" ht="15" customHeight="1">
      <c r="A50" s="34" t="s">
        <v>120</v>
      </c>
      <c r="B50" s="35">
        <v>26864</v>
      </c>
      <c r="C50" s="36">
        <v>149609</v>
      </c>
      <c r="D50" s="35">
        <v>4331959</v>
      </c>
    </row>
    <row r="51" spans="1:4" ht="15" customHeight="1">
      <c r="A51" s="34" t="s">
        <v>121</v>
      </c>
      <c r="B51" s="35">
        <v>20123</v>
      </c>
      <c r="C51" s="36">
        <v>108486</v>
      </c>
      <c r="D51" s="35">
        <v>2492057</v>
      </c>
    </row>
  </sheetData>
  <mergeCells count="1">
    <mergeCell ref="A1:D1"/>
  </mergeCells>
  <printOptions/>
  <pageMargins left="0.75" right="0.75" top="1.08" bottom="0.5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51"/>
  <sheetViews>
    <sheetView workbookViewId="0" topLeftCell="A1">
      <selection activeCell="A1" sqref="A1"/>
    </sheetView>
  </sheetViews>
  <sheetFormatPr defaultColWidth="9.00390625" defaultRowHeight="13.5"/>
  <cols>
    <col min="1" max="1" width="4.875" style="37" customWidth="1"/>
    <col min="2" max="2" width="11.00390625" style="0" bestFit="1" customWidth="1"/>
    <col min="3" max="3" width="9.00390625" style="37" bestFit="1" customWidth="1"/>
    <col min="4" max="4" width="5.375" style="37" customWidth="1"/>
    <col min="5" max="5" width="11.00390625" style="0" bestFit="1" customWidth="1"/>
    <col min="6" max="6" width="10.625" style="37" customWidth="1"/>
    <col min="7" max="7" width="5.875" style="37" customWidth="1"/>
    <col min="8" max="8" width="11.00390625" style="0" bestFit="1" customWidth="1"/>
    <col min="9" max="9" width="12.125" style="37" bestFit="1" customWidth="1"/>
    <col min="10" max="10" width="11.00390625" style="37" bestFit="1" customWidth="1"/>
  </cols>
  <sheetData>
    <row r="1" ht="13.5">
      <c r="A1" t="s">
        <v>122</v>
      </c>
    </row>
    <row r="2" spans="2:8" ht="13.5">
      <c r="B2" s="29"/>
      <c r="C2" s="37" t="s">
        <v>176</v>
      </c>
      <c r="E2" s="29"/>
      <c r="F2" s="37" t="s">
        <v>123</v>
      </c>
      <c r="H2" s="29"/>
    </row>
    <row r="3" spans="1:9" ht="24.75" customHeight="1">
      <c r="A3" s="38" t="s">
        <v>124</v>
      </c>
      <c r="B3" s="34" t="s">
        <v>125</v>
      </c>
      <c r="C3" s="38" t="s">
        <v>2</v>
      </c>
      <c r="D3" s="38" t="s">
        <v>124</v>
      </c>
      <c r="E3" s="34" t="s">
        <v>125</v>
      </c>
      <c r="F3" s="38" t="s">
        <v>126</v>
      </c>
      <c r="G3" s="38" t="s">
        <v>124</v>
      </c>
      <c r="H3" s="34" t="s">
        <v>125</v>
      </c>
      <c r="I3" s="38" t="s">
        <v>127</v>
      </c>
    </row>
    <row r="4" spans="1:9" ht="13.5">
      <c r="A4" s="35"/>
      <c r="B4" s="39" t="s">
        <v>128</v>
      </c>
      <c r="C4" s="35">
        <f>SUM(C5:C51)</f>
        <v>1679606</v>
      </c>
      <c r="D4" s="35"/>
      <c r="E4" s="39" t="s">
        <v>128</v>
      </c>
      <c r="F4" s="35">
        <f>SUM(F5:F51)</f>
        <v>11974766</v>
      </c>
      <c r="G4" s="35"/>
      <c r="H4" s="39" t="s">
        <v>128</v>
      </c>
      <c r="I4" s="35">
        <v>548464125</v>
      </c>
    </row>
    <row r="5" spans="1:9" ht="13.5">
      <c r="A5" s="35">
        <v>1</v>
      </c>
      <c r="B5" s="39" t="s">
        <v>129</v>
      </c>
      <c r="C5" s="35">
        <f>119016+'付表1-3'!C5</f>
        <v>176669</v>
      </c>
      <c r="D5" s="35">
        <v>1</v>
      </c>
      <c r="E5" s="39" t="s">
        <v>129</v>
      </c>
      <c r="F5" s="35">
        <f>810631+'付表1-3'!F5</f>
        <v>1713852</v>
      </c>
      <c r="G5" s="35">
        <v>1</v>
      </c>
      <c r="H5" s="39" t="s">
        <v>129</v>
      </c>
      <c r="I5" s="35">
        <f>16746035+'付表1-3'!I5</f>
        <v>176704287</v>
      </c>
    </row>
    <row r="6" spans="1:9" ht="13.5">
      <c r="A6" s="35">
        <v>2</v>
      </c>
      <c r="B6" s="39" t="s">
        <v>130</v>
      </c>
      <c r="C6" s="35">
        <f>86644+'付表1-3'!C6</f>
        <v>126120</v>
      </c>
      <c r="D6" s="35">
        <v>2</v>
      </c>
      <c r="E6" s="39" t="s">
        <v>130</v>
      </c>
      <c r="F6" s="35">
        <f>549692+'付表1-3'!F6</f>
        <v>1049502</v>
      </c>
      <c r="G6" s="35">
        <v>2</v>
      </c>
      <c r="H6" s="39" t="s">
        <v>130</v>
      </c>
      <c r="I6" s="35">
        <v>63063743</v>
      </c>
    </row>
    <row r="7" spans="1:9" ht="13.5">
      <c r="A7" s="35">
        <v>3</v>
      </c>
      <c r="B7" s="39" t="s">
        <v>131</v>
      </c>
      <c r="C7" s="35">
        <f>65689+'付表1-3'!C7</f>
        <v>92110</v>
      </c>
      <c r="D7" s="35">
        <v>3</v>
      </c>
      <c r="E7" s="39" t="s">
        <v>131</v>
      </c>
      <c r="F7" s="35">
        <f>446797+'付表1-3'!F7</f>
        <v>734312</v>
      </c>
      <c r="G7" s="35">
        <v>3</v>
      </c>
      <c r="H7" s="39" t="s">
        <v>131</v>
      </c>
      <c r="I7" s="35">
        <f>8059876+'付表1-3'!I7</f>
        <v>41525491</v>
      </c>
    </row>
    <row r="8" spans="1:9" ht="13.5">
      <c r="A8" s="35">
        <v>4</v>
      </c>
      <c r="B8" s="39" t="s">
        <v>132</v>
      </c>
      <c r="C8" s="35">
        <f>61940+'付表1-3'!C10</f>
        <v>76460</v>
      </c>
      <c r="D8" s="35">
        <v>4</v>
      </c>
      <c r="E8" s="39" t="s">
        <v>132</v>
      </c>
      <c r="F8" s="35">
        <f>483992+'付表1-3'!F9</f>
        <v>632616</v>
      </c>
      <c r="G8" s="35">
        <v>4</v>
      </c>
      <c r="H8" s="39" t="s">
        <v>179</v>
      </c>
      <c r="I8" s="35">
        <f>5222772+'付表1-3'!I8</f>
        <v>22034564</v>
      </c>
    </row>
    <row r="9" spans="1:9" ht="13.5">
      <c r="A9" s="35">
        <v>5</v>
      </c>
      <c r="B9" s="39" t="s">
        <v>179</v>
      </c>
      <c r="C9" s="35">
        <f>53905+'付表1-3'!C8</f>
        <v>70641</v>
      </c>
      <c r="D9" s="35">
        <v>5</v>
      </c>
      <c r="E9" s="39" t="s">
        <v>134</v>
      </c>
      <c r="F9" s="35">
        <f>368441+'付表1-3'!F10</f>
        <v>516518</v>
      </c>
      <c r="G9" s="35">
        <v>5</v>
      </c>
      <c r="H9" s="39" t="s">
        <v>134</v>
      </c>
      <c r="I9" s="35">
        <v>20247834</v>
      </c>
    </row>
    <row r="10" spans="1:9" ht="13.5">
      <c r="A10" s="35">
        <v>6</v>
      </c>
      <c r="B10" s="39" t="s">
        <v>135</v>
      </c>
      <c r="C10" s="35">
        <f>55505+'付表1-3'!C12</f>
        <v>68451</v>
      </c>
      <c r="D10" s="35">
        <v>6</v>
      </c>
      <c r="E10" s="39" t="s">
        <v>179</v>
      </c>
      <c r="F10" s="35">
        <f>325378+'付表1-3'!F8</f>
        <v>502759</v>
      </c>
      <c r="G10" s="35">
        <v>6</v>
      </c>
      <c r="H10" s="39" t="s">
        <v>132</v>
      </c>
      <c r="I10" s="35">
        <f>8464265+'付表1-3'!I10</f>
        <v>20028848</v>
      </c>
    </row>
    <row r="11" spans="1:9" ht="13.5">
      <c r="A11" s="35">
        <v>7</v>
      </c>
      <c r="B11" s="39" t="s">
        <v>134</v>
      </c>
      <c r="C11" s="35">
        <f>51007+'付表1-3'!C9</f>
        <v>66506</v>
      </c>
      <c r="D11" s="35">
        <v>7</v>
      </c>
      <c r="E11" s="39" t="s">
        <v>136</v>
      </c>
      <c r="F11" s="35">
        <f>364013+'付表1-3'!F11</f>
        <v>489542</v>
      </c>
      <c r="G11" s="35">
        <v>7</v>
      </c>
      <c r="H11" s="39" t="s">
        <v>136</v>
      </c>
      <c r="I11" s="35">
        <f>6092936+'付表1-3'!I12</f>
        <v>15024770</v>
      </c>
    </row>
    <row r="12" spans="1:9" ht="13.5">
      <c r="A12" s="35">
        <v>8</v>
      </c>
      <c r="B12" s="39" t="s">
        <v>136</v>
      </c>
      <c r="C12" s="35">
        <f>49539+'付表1-3'!C11</f>
        <v>63216</v>
      </c>
      <c r="D12" s="35">
        <v>8</v>
      </c>
      <c r="E12" s="39" t="s">
        <v>135</v>
      </c>
      <c r="F12" s="35">
        <f>339177+'付表1-3'!F12</f>
        <v>453965</v>
      </c>
      <c r="G12" s="35">
        <v>8</v>
      </c>
      <c r="H12" s="39" t="s">
        <v>135</v>
      </c>
      <c r="I12" s="35">
        <f>5506284+'付表1-3'!I14</f>
        <v>13177565</v>
      </c>
    </row>
    <row r="13" spans="1:9" ht="13.5">
      <c r="A13" s="35">
        <v>9</v>
      </c>
      <c r="B13" s="39" t="s">
        <v>137</v>
      </c>
      <c r="C13" s="35">
        <f>44887+'付表1-3'!C14</f>
        <v>54686</v>
      </c>
      <c r="D13" s="35">
        <v>9</v>
      </c>
      <c r="E13" s="39" t="s">
        <v>137</v>
      </c>
      <c r="F13" s="35">
        <f>339715+'付表1-3'!F15</f>
        <v>430162</v>
      </c>
      <c r="G13" s="35">
        <v>9</v>
      </c>
      <c r="H13" s="39" t="s">
        <v>138</v>
      </c>
      <c r="I13" s="35">
        <f>3133794+'付表1-3'!I11</f>
        <v>12567940</v>
      </c>
    </row>
    <row r="14" spans="1:9" ht="13.5">
      <c r="A14" s="35">
        <v>10</v>
      </c>
      <c r="B14" s="39" t="s">
        <v>139</v>
      </c>
      <c r="C14" s="35">
        <f>41877+'付表1-3'!C13</f>
        <v>53891</v>
      </c>
      <c r="D14" s="35">
        <v>10</v>
      </c>
      <c r="E14" s="39" t="s">
        <v>139</v>
      </c>
      <c r="F14" s="35">
        <f>238356+'付表1-3'!F13</f>
        <v>338914</v>
      </c>
      <c r="G14" s="35">
        <v>10</v>
      </c>
      <c r="H14" s="39" t="s">
        <v>137</v>
      </c>
      <c r="I14" s="35">
        <f>5687153+'付表1-3'!I16</f>
        <v>12294183</v>
      </c>
    </row>
    <row r="15" spans="1:9" ht="13.5">
      <c r="A15" s="35">
        <v>11</v>
      </c>
      <c r="B15" s="39" t="s">
        <v>138</v>
      </c>
      <c r="C15" s="35">
        <f>30929+'付表1-3'!C15</f>
        <v>40708</v>
      </c>
      <c r="D15" s="35">
        <v>11</v>
      </c>
      <c r="E15" s="39" t="s">
        <v>138</v>
      </c>
      <c r="F15" s="35">
        <f>190540+'付表1-3'!F14</f>
        <v>289445</v>
      </c>
      <c r="G15" s="35">
        <v>11</v>
      </c>
      <c r="H15" s="39" t="s">
        <v>139</v>
      </c>
      <c r="I15" s="35">
        <f>4084491+'付表1-3'!I15</f>
        <v>11266379</v>
      </c>
    </row>
    <row r="16" spans="1:9" ht="13.5">
      <c r="A16" s="35">
        <v>12</v>
      </c>
      <c r="B16" s="39" t="s">
        <v>140</v>
      </c>
      <c r="C16" s="35">
        <f>29939+'付表1-3'!C17</f>
        <v>38196</v>
      </c>
      <c r="D16" s="35">
        <v>12</v>
      </c>
      <c r="E16" s="39" t="s">
        <v>140</v>
      </c>
      <c r="F16" s="35">
        <f>180730+'付表1-3'!F17</f>
        <v>257523</v>
      </c>
      <c r="G16" s="35">
        <v>12</v>
      </c>
      <c r="H16" s="39" t="s">
        <v>141</v>
      </c>
      <c r="I16" s="35">
        <f>2526680+'付表1-3'!I13</f>
        <v>10933309</v>
      </c>
    </row>
    <row r="17" spans="1:9" ht="13.5">
      <c r="A17" s="35">
        <v>13</v>
      </c>
      <c r="B17" s="39" t="s">
        <v>142</v>
      </c>
      <c r="C17" s="35">
        <f>30236+'付表1-3'!C18</f>
        <v>38109</v>
      </c>
      <c r="D17" s="35">
        <v>13</v>
      </c>
      <c r="E17" s="39" t="s">
        <v>141</v>
      </c>
      <c r="F17" s="35">
        <f>154655+'付表1-3'!F16</f>
        <v>236848</v>
      </c>
      <c r="G17" s="35">
        <v>13</v>
      </c>
      <c r="H17" s="39" t="s">
        <v>142</v>
      </c>
      <c r="I17" s="35">
        <f>2575816+'付表1-3'!I17</f>
        <v>7330619</v>
      </c>
    </row>
    <row r="18" spans="1:9" ht="13.5">
      <c r="A18" s="35">
        <v>14</v>
      </c>
      <c r="B18" s="39" t="s">
        <v>143</v>
      </c>
      <c r="C18" s="35">
        <f>29110+'付表1-3'!C20</f>
        <v>35633</v>
      </c>
      <c r="D18" s="35">
        <v>14</v>
      </c>
      <c r="E18" s="39" t="s">
        <v>143</v>
      </c>
      <c r="F18" s="35">
        <f>181361+'付表1-3'!F21</f>
        <v>235483</v>
      </c>
      <c r="G18" s="35">
        <v>14</v>
      </c>
      <c r="H18" s="39" t="s">
        <v>140</v>
      </c>
      <c r="I18" s="35">
        <f>3008023+'付表1-3'!I18</f>
        <v>7298154</v>
      </c>
    </row>
    <row r="19" spans="1:9" ht="13.5">
      <c r="A19" s="35">
        <v>15</v>
      </c>
      <c r="B19" s="39" t="s">
        <v>141</v>
      </c>
      <c r="C19" s="35">
        <f>24375+'付表1-3'!C16</f>
        <v>32733</v>
      </c>
      <c r="D19" s="35">
        <v>15</v>
      </c>
      <c r="E19" s="39" t="s">
        <v>142</v>
      </c>
      <c r="F19" s="35">
        <f>158263+'付表1-3'!F18</f>
        <v>229471</v>
      </c>
      <c r="G19" s="35">
        <v>15</v>
      </c>
      <c r="H19" s="39" t="s">
        <v>143</v>
      </c>
      <c r="I19" s="35">
        <v>6574412</v>
      </c>
    </row>
    <row r="20" spans="1:9" ht="13.5">
      <c r="A20" s="35">
        <v>16</v>
      </c>
      <c r="B20" s="39" t="s">
        <v>144</v>
      </c>
      <c r="C20" s="35">
        <f>23866+'付表1-3'!C19</f>
        <v>30909</v>
      </c>
      <c r="D20" s="35">
        <v>16</v>
      </c>
      <c r="E20" s="39" t="s">
        <v>145</v>
      </c>
      <c r="F20" s="35">
        <f>142217+'付表1-3'!F20</f>
        <v>197604</v>
      </c>
      <c r="G20" s="35">
        <v>16</v>
      </c>
      <c r="H20" s="39" t="s">
        <v>145</v>
      </c>
      <c r="I20" s="35">
        <f>2484596+'付表1-3'!I19</f>
        <v>6464420</v>
      </c>
    </row>
    <row r="21" spans="1:9" ht="13.5">
      <c r="A21" s="35">
        <v>17</v>
      </c>
      <c r="B21" s="39" t="s">
        <v>145</v>
      </c>
      <c r="C21" s="35">
        <f>24548+'付表1-3'!C21</f>
        <v>30731</v>
      </c>
      <c r="D21" s="35">
        <v>17</v>
      </c>
      <c r="E21" s="39" t="s">
        <v>144</v>
      </c>
      <c r="F21" s="35">
        <f>134118+'付表1-3'!F19</f>
        <v>191204</v>
      </c>
      <c r="G21" s="35">
        <v>17</v>
      </c>
      <c r="H21" s="39" t="s">
        <v>146</v>
      </c>
      <c r="I21" s="35">
        <f>2084808+'付表1-3'!I21</f>
        <v>5646460</v>
      </c>
    </row>
    <row r="22" spans="1:9" ht="13.5">
      <c r="A22" s="35">
        <v>18</v>
      </c>
      <c r="B22" s="39" t="s">
        <v>147</v>
      </c>
      <c r="C22" s="35">
        <f>24410+'付表1-3'!C24</f>
        <v>29802</v>
      </c>
      <c r="D22" s="35">
        <v>18</v>
      </c>
      <c r="E22" s="39" t="s">
        <v>148</v>
      </c>
      <c r="F22" s="35">
        <f>131770+'付表1-3'!F23</f>
        <v>180612</v>
      </c>
      <c r="G22" s="35">
        <v>18</v>
      </c>
      <c r="H22" s="39" t="s">
        <v>149</v>
      </c>
      <c r="I22" s="35">
        <f>1959994+'付表1-3'!I22</f>
        <v>5518944</v>
      </c>
    </row>
    <row r="23" spans="1:9" ht="13.5">
      <c r="A23" s="35">
        <v>19</v>
      </c>
      <c r="B23" s="39" t="s">
        <v>148</v>
      </c>
      <c r="C23" s="35">
        <f>22206+'付表1-3'!C22</f>
        <v>27823</v>
      </c>
      <c r="D23" s="35">
        <v>19</v>
      </c>
      <c r="E23" s="39" t="s">
        <v>147</v>
      </c>
      <c r="F23" s="35">
        <f>134976+'付表1-3'!F25</f>
        <v>178744</v>
      </c>
      <c r="G23" s="35">
        <v>19</v>
      </c>
      <c r="H23" s="39" t="s">
        <v>148</v>
      </c>
      <c r="I23" s="35">
        <f>2179278+'付表1-3'!I23</f>
        <v>5362438</v>
      </c>
    </row>
    <row r="24" spans="1:9" ht="13.5">
      <c r="A24" s="35">
        <v>20</v>
      </c>
      <c r="B24" s="39" t="s">
        <v>146</v>
      </c>
      <c r="C24" s="35">
        <f>21330+'付表1-3'!C23</f>
        <v>26936</v>
      </c>
      <c r="D24" s="35">
        <v>20</v>
      </c>
      <c r="E24" s="39" t="s">
        <v>146</v>
      </c>
      <c r="F24" s="35">
        <f>123915+'付表1-3'!F24</f>
        <v>171067</v>
      </c>
      <c r="G24" s="35">
        <v>20</v>
      </c>
      <c r="H24" s="39" t="s">
        <v>144</v>
      </c>
      <c r="I24" s="35">
        <f>2186860+'付表1-3'!I25</f>
        <v>5234017</v>
      </c>
    </row>
    <row r="25" spans="1:9" ht="13.5">
      <c r="A25" s="35">
        <v>21</v>
      </c>
      <c r="B25" s="39" t="s">
        <v>150</v>
      </c>
      <c r="C25" s="35">
        <f>22336+'付表1-3'!C28</f>
        <v>26864</v>
      </c>
      <c r="D25" s="35">
        <v>21</v>
      </c>
      <c r="E25" s="39" t="s">
        <v>149</v>
      </c>
      <c r="F25" s="35">
        <f>121939+'付表1-3'!F22</f>
        <v>171028</v>
      </c>
      <c r="G25" s="35">
        <v>21</v>
      </c>
      <c r="H25" s="39" t="s">
        <v>147</v>
      </c>
      <c r="I25" s="35">
        <f>2145418+'付表1-3'!I27</f>
        <v>4898557</v>
      </c>
    </row>
    <row r="26" spans="1:9" ht="13.5">
      <c r="A26" s="35">
        <v>22</v>
      </c>
      <c r="B26" s="39" t="s">
        <v>149</v>
      </c>
      <c r="C26" s="35">
        <f>21099+'付表1-3'!C25</f>
        <v>26243</v>
      </c>
      <c r="D26" s="35">
        <v>22</v>
      </c>
      <c r="E26" s="39" t="s">
        <v>151</v>
      </c>
      <c r="F26" s="35">
        <f>120822+'付表1-3'!F26</f>
        <v>162563</v>
      </c>
      <c r="G26" s="35">
        <v>22</v>
      </c>
      <c r="H26" s="39" t="s">
        <v>150</v>
      </c>
      <c r="I26" s="35">
        <f>1700146+'付表1-3'!I28</f>
        <v>4331959</v>
      </c>
    </row>
    <row r="27" spans="1:9" ht="13.5">
      <c r="A27" s="35">
        <v>23</v>
      </c>
      <c r="B27" s="39" t="s">
        <v>151</v>
      </c>
      <c r="C27" s="35">
        <f>21167+'付表1-3'!C27</f>
        <v>25696</v>
      </c>
      <c r="D27" s="35">
        <v>23</v>
      </c>
      <c r="E27" s="39" t="s">
        <v>152</v>
      </c>
      <c r="F27" s="35">
        <f>116512+'付表1-3'!F30</f>
        <v>151966</v>
      </c>
      <c r="G27" s="35">
        <v>23</v>
      </c>
      <c r="H27" s="39" t="s">
        <v>153</v>
      </c>
      <c r="I27" s="35">
        <f>1213446+'付表1-3'!I24</f>
        <v>4282163</v>
      </c>
    </row>
    <row r="28" spans="1:9" ht="13.5">
      <c r="A28" s="35">
        <v>24</v>
      </c>
      <c r="B28" s="39" t="s">
        <v>152</v>
      </c>
      <c r="C28" s="35">
        <f>20297+'付表1-3'!C29</f>
        <v>24769</v>
      </c>
      <c r="D28" s="35">
        <v>24</v>
      </c>
      <c r="E28" s="39" t="s">
        <v>150</v>
      </c>
      <c r="F28" s="35">
        <f>110667+'付表1-3'!F29</f>
        <v>149609</v>
      </c>
      <c r="G28" s="35">
        <v>24</v>
      </c>
      <c r="H28" s="39" t="s">
        <v>154</v>
      </c>
      <c r="I28" s="35">
        <f>1309711+'付表1-3'!I26</f>
        <v>4280880</v>
      </c>
    </row>
    <row r="29" spans="1:9" ht="13.5">
      <c r="A29" s="35">
        <v>25</v>
      </c>
      <c r="B29" s="39" t="s">
        <v>155</v>
      </c>
      <c r="C29" s="35">
        <f>19505+'付表1-3'!C32</f>
        <v>23569</v>
      </c>
      <c r="D29" s="35">
        <v>25</v>
      </c>
      <c r="E29" s="39" t="s">
        <v>156</v>
      </c>
      <c r="F29" s="35">
        <f>102662+'付表1-3'!F34</f>
        <v>136229</v>
      </c>
      <c r="G29" s="35">
        <v>25</v>
      </c>
      <c r="H29" s="39" t="s">
        <v>151</v>
      </c>
      <c r="I29" s="35">
        <f>1768296+'付表1-3'!I30</f>
        <v>4184779</v>
      </c>
    </row>
    <row r="30" spans="1:9" ht="13.5">
      <c r="A30" s="35">
        <v>26</v>
      </c>
      <c r="B30" s="39" t="s">
        <v>157</v>
      </c>
      <c r="C30" s="35">
        <f>18872+'付表1-3'!C26</f>
        <v>23564</v>
      </c>
      <c r="D30" s="35">
        <v>26</v>
      </c>
      <c r="E30" s="39" t="s">
        <v>157</v>
      </c>
      <c r="F30" s="35">
        <f>95960+'付表1-3'!F27</f>
        <v>135797</v>
      </c>
      <c r="G30" s="35">
        <v>26</v>
      </c>
      <c r="H30" s="39" t="s">
        <v>157</v>
      </c>
      <c r="I30" s="35">
        <v>3923283</v>
      </c>
    </row>
    <row r="31" spans="1:9" ht="13.5">
      <c r="A31" s="35">
        <v>27</v>
      </c>
      <c r="B31" s="39" t="s">
        <v>156</v>
      </c>
      <c r="C31" s="35">
        <f>19100+'付表1-3'!C31</f>
        <v>23260</v>
      </c>
      <c r="D31" s="35">
        <v>27</v>
      </c>
      <c r="E31" s="39" t="s">
        <v>155</v>
      </c>
      <c r="F31" s="35">
        <f>99619+'付表1-3'!F31</f>
        <v>134487</v>
      </c>
      <c r="G31" s="35">
        <v>27</v>
      </c>
      <c r="H31" s="39" t="s">
        <v>152</v>
      </c>
      <c r="I31" s="35">
        <f>1794343+'付表1-3'!I34</f>
        <v>3828670</v>
      </c>
    </row>
    <row r="32" spans="1:9" ht="13.5">
      <c r="A32" s="35">
        <v>28</v>
      </c>
      <c r="B32" s="39" t="s">
        <v>158</v>
      </c>
      <c r="C32" s="35">
        <f>17293+'付表1-3'!C34</f>
        <v>21030</v>
      </c>
      <c r="D32" s="35">
        <v>28</v>
      </c>
      <c r="E32" s="39" t="s">
        <v>158</v>
      </c>
      <c r="F32" s="35">
        <f>95861+'付表1-3'!F32</f>
        <v>130458</v>
      </c>
      <c r="G32" s="35">
        <v>28</v>
      </c>
      <c r="H32" s="39" t="s">
        <v>158</v>
      </c>
      <c r="I32" s="35">
        <v>3693933</v>
      </c>
    </row>
    <row r="33" spans="1:9" ht="13.5">
      <c r="A33" s="35">
        <v>29</v>
      </c>
      <c r="B33" s="39" t="s">
        <v>159</v>
      </c>
      <c r="C33" s="35">
        <f>16797+'付表1-3'!C36</f>
        <v>20295</v>
      </c>
      <c r="D33" s="35">
        <v>29</v>
      </c>
      <c r="E33" s="39" t="s">
        <v>159</v>
      </c>
      <c r="F33" s="35">
        <f>88294+'付表1-3'!F36</f>
        <v>118983</v>
      </c>
      <c r="G33" s="35">
        <v>29</v>
      </c>
      <c r="H33" s="39" t="s">
        <v>156</v>
      </c>
      <c r="I33" s="35">
        <f>1561699+'付表1-3'!I35</f>
        <v>3595032</v>
      </c>
    </row>
    <row r="34" spans="1:9" ht="13.5">
      <c r="A34" s="35">
        <v>30</v>
      </c>
      <c r="B34" s="39" t="s">
        <v>180</v>
      </c>
      <c r="C34" s="35">
        <f>16834+'付表1-3'!C39</f>
        <v>20123</v>
      </c>
      <c r="D34" s="35">
        <v>30</v>
      </c>
      <c r="E34" s="39" t="s">
        <v>154</v>
      </c>
      <c r="F34" s="35">
        <f>78312+'付表1-3'!F28</f>
        <v>117839</v>
      </c>
      <c r="G34" s="35">
        <v>30</v>
      </c>
      <c r="H34" s="39" t="s">
        <v>159</v>
      </c>
      <c r="I34" s="35">
        <f>1395991+'付表1-3'!I32</f>
        <v>3525821</v>
      </c>
    </row>
    <row r="35" spans="1:9" ht="13.5">
      <c r="A35" s="35">
        <v>31</v>
      </c>
      <c r="B35" s="39" t="s">
        <v>161</v>
      </c>
      <c r="C35" s="35">
        <f>15644+'付表1-3'!C37</f>
        <v>19121</v>
      </c>
      <c r="D35" s="35">
        <v>31</v>
      </c>
      <c r="E35" s="39" t="s">
        <v>162</v>
      </c>
      <c r="F35" s="35">
        <f>82612+'付表1-3'!F39</f>
        <v>109890</v>
      </c>
      <c r="G35" s="35">
        <v>31</v>
      </c>
      <c r="H35" s="39" t="s">
        <v>163</v>
      </c>
      <c r="I35" s="35">
        <f>1244825+'付表1-3'!I33</f>
        <v>3305066</v>
      </c>
    </row>
    <row r="36" spans="1:9" ht="13.5">
      <c r="A36" s="35">
        <v>32</v>
      </c>
      <c r="B36" s="39" t="s">
        <v>163</v>
      </c>
      <c r="C36" s="35">
        <f>15455+'付表1-3'!C35</f>
        <v>18968</v>
      </c>
      <c r="D36" s="35">
        <v>32</v>
      </c>
      <c r="E36" s="39" t="s">
        <v>164</v>
      </c>
      <c r="F36" s="35">
        <f>87839+'付表1-3'!F43</f>
        <v>108903</v>
      </c>
      <c r="G36" s="35">
        <v>32</v>
      </c>
      <c r="H36" s="39" t="s">
        <v>155</v>
      </c>
      <c r="I36" s="35">
        <f>1491382+'付表1-3'!I36</f>
        <v>3298063</v>
      </c>
    </row>
    <row r="37" spans="1:9" ht="13.5">
      <c r="A37" s="35">
        <v>33</v>
      </c>
      <c r="B37" s="39" t="s">
        <v>162</v>
      </c>
      <c r="C37" s="35">
        <f>15434+'付表1-3'!C38</f>
        <v>18864</v>
      </c>
      <c r="D37" s="35">
        <v>33</v>
      </c>
      <c r="E37" s="39" t="s">
        <v>180</v>
      </c>
      <c r="F37" s="35">
        <f>78784+'付表1-3'!F37</f>
        <v>108486</v>
      </c>
      <c r="G37" s="35">
        <v>33</v>
      </c>
      <c r="H37" s="39" t="s">
        <v>161</v>
      </c>
      <c r="I37" s="35">
        <f>1299887+'付表1-3'!I37</f>
        <v>2968623</v>
      </c>
    </row>
    <row r="38" spans="1:9" ht="13.5">
      <c r="A38" s="35">
        <v>34</v>
      </c>
      <c r="B38" s="39" t="s">
        <v>154</v>
      </c>
      <c r="C38" s="35">
        <f>14139+'付表1-3'!C30</f>
        <v>18379</v>
      </c>
      <c r="D38" s="35">
        <v>34</v>
      </c>
      <c r="E38" s="39" t="s">
        <v>163</v>
      </c>
      <c r="F38" s="35">
        <f>76898+'付表1-3'!F35</f>
        <v>107992</v>
      </c>
      <c r="G38" s="35">
        <v>34</v>
      </c>
      <c r="H38" s="39" t="s">
        <v>165</v>
      </c>
      <c r="I38" s="35">
        <f>1181591+'付表1-3'!I39</f>
        <v>2714120</v>
      </c>
    </row>
    <row r="39" spans="1:9" ht="13.5">
      <c r="A39" s="35">
        <v>35</v>
      </c>
      <c r="B39" s="39" t="s">
        <v>165</v>
      </c>
      <c r="C39" s="35">
        <f>14992+'付表1-3'!C41</f>
        <v>18047</v>
      </c>
      <c r="D39" s="35">
        <v>35</v>
      </c>
      <c r="E39" s="39" t="s">
        <v>161</v>
      </c>
      <c r="F39" s="35">
        <f>79908+'付表1-3'!F38</f>
        <v>107842</v>
      </c>
      <c r="G39" s="35">
        <v>35</v>
      </c>
      <c r="H39" s="39" t="s">
        <v>166</v>
      </c>
      <c r="I39" s="35">
        <f>1107800+'付表1-3'!I38</f>
        <v>2696485</v>
      </c>
    </row>
    <row r="40" spans="1:9" ht="13.5">
      <c r="A40" s="35">
        <v>36</v>
      </c>
      <c r="B40" s="39" t="s">
        <v>166</v>
      </c>
      <c r="C40" s="35">
        <f>14068+'付表1-3'!C40</f>
        <v>17293</v>
      </c>
      <c r="D40" s="35">
        <v>36</v>
      </c>
      <c r="E40" s="39" t="s">
        <v>153</v>
      </c>
      <c r="F40" s="35">
        <f>68300+'付表1-3'!F33</f>
        <v>102199</v>
      </c>
      <c r="G40" s="35">
        <v>36</v>
      </c>
      <c r="H40" s="39" t="s">
        <v>162</v>
      </c>
      <c r="I40" s="35">
        <v>2695568</v>
      </c>
    </row>
    <row r="41" spans="1:9" ht="13.5">
      <c r="A41" s="35">
        <v>37</v>
      </c>
      <c r="B41" s="39" t="s">
        <v>167</v>
      </c>
      <c r="C41" s="35">
        <f>14398+'付表1-3'!C43</f>
        <v>17258</v>
      </c>
      <c r="D41" s="35">
        <v>37</v>
      </c>
      <c r="E41" s="39" t="s">
        <v>166</v>
      </c>
      <c r="F41" s="35">
        <f>75719+'付表1-3'!F40</f>
        <v>101842</v>
      </c>
      <c r="G41" s="35">
        <v>37</v>
      </c>
      <c r="H41" s="39" t="s">
        <v>164</v>
      </c>
      <c r="I41" s="35">
        <f>1317681+'付表1-3'!I43</f>
        <v>2543282</v>
      </c>
    </row>
    <row r="42" spans="1:9" ht="13.5">
      <c r="A42" s="35">
        <v>38</v>
      </c>
      <c r="B42" s="39" t="s">
        <v>153</v>
      </c>
      <c r="C42" s="35">
        <f>12502+'付表1-3'!C33</f>
        <v>16259</v>
      </c>
      <c r="D42" s="35">
        <v>38</v>
      </c>
      <c r="E42" s="39" t="s">
        <v>165</v>
      </c>
      <c r="F42" s="35">
        <f>75072+'付表1-3'!F41</f>
        <v>100238</v>
      </c>
      <c r="G42" s="35">
        <v>38</v>
      </c>
      <c r="H42" s="39" t="s">
        <v>180</v>
      </c>
      <c r="I42" s="35">
        <v>2492057</v>
      </c>
    </row>
    <row r="43" spans="1:9" ht="13.5">
      <c r="A43" s="35">
        <v>39</v>
      </c>
      <c r="B43" s="39" t="s">
        <v>164</v>
      </c>
      <c r="C43" s="35">
        <f>13294+'付表1-3'!C44</f>
        <v>15941</v>
      </c>
      <c r="D43" s="35">
        <v>39</v>
      </c>
      <c r="E43" s="39" t="s">
        <v>168</v>
      </c>
      <c r="F43" s="35">
        <f>81513+'付表1-3'!F50</f>
        <v>97972</v>
      </c>
      <c r="G43" s="35">
        <v>39</v>
      </c>
      <c r="H43" s="39" t="s">
        <v>169</v>
      </c>
      <c r="I43" s="35">
        <f>905181+'付表1-3'!I42</f>
        <v>2315651</v>
      </c>
    </row>
    <row r="44" spans="1:9" ht="13.5">
      <c r="A44" s="35">
        <v>40</v>
      </c>
      <c r="B44" s="39" t="s">
        <v>168</v>
      </c>
      <c r="C44" s="35">
        <f>12933+'付表1-3'!C50</f>
        <v>14838</v>
      </c>
      <c r="D44" s="35">
        <v>40</v>
      </c>
      <c r="E44" s="39" t="s">
        <v>167</v>
      </c>
      <c r="F44" s="35">
        <f>69026+'付表1-3'!F44</f>
        <v>89961</v>
      </c>
      <c r="G44" s="35">
        <v>40</v>
      </c>
      <c r="H44" s="39" t="s">
        <v>168</v>
      </c>
      <c r="I44" s="35">
        <f>1214778+'付表1-3'!I50</f>
        <v>2096700</v>
      </c>
    </row>
    <row r="45" spans="1:9" ht="13.5">
      <c r="A45" s="35">
        <v>41</v>
      </c>
      <c r="B45" s="39" t="s">
        <v>169</v>
      </c>
      <c r="C45" s="35">
        <f>10820+'付表1-3'!C42</f>
        <v>13731</v>
      </c>
      <c r="D45" s="35">
        <v>41</v>
      </c>
      <c r="E45" s="39" t="s">
        <v>169</v>
      </c>
      <c r="F45" s="35">
        <f>56335+'付表1-3'!F42</f>
        <v>80517</v>
      </c>
      <c r="G45" s="35">
        <v>41</v>
      </c>
      <c r="H45" s="39" t="s">
        <v>167</v>
      </c>
      <c r="I45" s="35">
        <f>967265+'付表1-3'!I47</f>
        <v>1952240</v>
      </c>
    </row>
    <row r="46" spans="1:9" ht="13.5">
      <c r="A46" s="35">
        <v>42</v>
      </c>
      <c r="B46" s="39" t="s">
        <v>170</v>
      </c>
      <c r="C46" s="35">
        <f>11207+'付表1-3'!C47</f>
        <v>13466</v>
      </c>
      <c r="D46" s="35">
        <v>42</v>
      </c>
      <c r="E46" s="39" t="s">
        <v>171</v>
      </c>
      <c r="F46" s="35">
        <f>56891+'付表1-3'!F46</f>
        <v>75875</v>
      </c>
      <c r="G46" s="35">
        <v>42</v>
      </c>
      <c r="H46" s="39" t="s">
        <v>172</v>
      </c>
      <c r="I46" s="35">
        <v>1928163</v>
      </c>
    </row>
    <row r="47" spans="1:9" ht="13.5">
      <c r="A47" s="35">
        <v>43</v>
      </c>
      <c r="B47" s="39" t="s">
        <v>173</v>
      </c>
      <c r="C47" s="35">
        <f>11237+'付表1-3'!C49</f>
        <v>13430</v>
      </c>
      <c r="D47" s="35">
        <v>43</v>
      </c>
      <c r="E47" s="39" t="s">
        <v>172</v>
      </c>
      <c r="F47" s="35">
        <f>57113+'付表1-3'!F48</f>
        <v>75420</v>
      </c>
      <c r="G47" s="35">
        <v>43</v>
      </c>
      <c r="H47" s="39" t="s">
        <v>171</v>
      </c>
      <c r="I47" s="35">
        <f>846774+'付表1-3'!I45</f>
        <v>1875024</v>
      </c>
    </row>
    <row r="48" spans="1:9" ht="13.5">
      <c r="A48" s="35">
        <v>44</v>
      </c>
      <c r="B48" s="39" t="s">
        <v>171</v>
      </c>
      <c r="C48" s="35">
        <f>10996+'付表1-3'!C46</f>
        <v>13301</v>
      </c>
      <c r="D48" s="35">
        <v>44</v>
      </c>
      <c r="E48" s="39" t="s">
        <v>173</v>
      </c>
      <c r="F48" s="35">
        <f>54238+'付表1-3'!F47</f>
        <v>72645</v>
      </c>
      <c r="G48" s="35">
        <v>44</v>
      </c>
      <c r="H48" s="39" t="s">
        <v>170</v>
      </c>
      <c r="I48" s="35">
        <f>791846+'付表1-3'!I44</f>
        <v>1821844</v>
      </c>
    </row>
    <row r="49" spans="1:9" ht="13.5">
      <c r="A49" s="35">
        <v>45</v>
      </c>
      <c r="B49" s="39" t="s">
        <v>172</v>
      </c>
      <c r="C49" s="35">
        <f>10743+'付表1-3'!C45</f>
        <v>13141</v>
      </c>
      <c r="D49" s="35">
        <v>45</v>
      </c>
      <c r="E49" s="39" t="s">
        <v>170</v>
      </c>
      <c r="F49" s="35">
        <f>52807+'付表1-3'!F45</f>
        <v>72347</v>
      </c>
      <c r="G49" s="35">
        <v>45</v>
      </c>
      <c r="H49" s="39" t="s">
        <v>174</v>
      </c>
      <c r="I49" s="35">
        <f>811368+'付表1-3'!I49</f>
        <v>1705491</v>
      </c>
    </row>
    <row r="50" spans="1:9" ht="13.5">
      <c r="A50" s="35">
        <v>46</v>
      </c>
      <c r="B50" s="39" t="s">
        <v>174</v>
      </c>
      <c r="C50" s="35">
        <f>10693+'付表1-3'!C48</f>
        <v>12940</v>
      </c>
      <c r="D50" s="35">
        <v>46</v>
      </c>
      <c r="E50" s="39" t="s">
        <v>174</v>
      </c>
      <c r="F50" s="35">
        <f>50546+'付表1-3'!F49</f>
        <v>68204</v>
      </c>
      <c r="G50" s="35">
        <v>46</v>
      </c>
      <c r="H50" s="39" t="s">
        <v>173</v>
      </c>
      <c r="I50" s="35">
        <f>809872+'付表1-3'!I48</f>
        <v>1705016</v>
      </c>
    </row>
    <row r="51" spans="1:9" ht="13.5">
      <c r="A51" s="35">
        <v>47</v>
      </c>
      <c r="B51" s="39" t="s">
        <v>175</v>
      </c>
      <c r="C51" s="35">
        <f>7244+'付表1-3'!C51</f>
        <v>8886</v>
      </c>
      <c r="D51" s="35">
        <v>47</v>
      </c>
      <c r="E51" s="39" t="s">
        <v>175</v>
      </c>
      <c r="F51" s="35">
        <f>39819+'付表1-3'!F51</f>
        <v>55331</v>
      </c>
      <c r="G51" s="35">
        <v>47</v>
      </c>
      <c r="H51" s="39" t="s">
        <v>175</v>
      </c>
      <c r="I51" s="35">
        <f>680272+'付表1-3'!I51</f>
        <v>1507277</v>
      </c>
    </row>
  </sheetData>
  <printOptions/>
  <pageMargins left="0.83" right="0.75" top="1" bottom="1" header="0.512" footer="0.512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51"/>
  <sheetViews>
    <sheetView workbookViewId="0" topLeftCell="A1">
      <selection activeCell="A1" sqref="A1"/>
    </sheetView>
  </sheetViews>
  <sheetFormatPr defaultColWidth="9.00390625" defaultRowHeight="13.5"/>
  <cols>
    <col min="1" max="1" width="4.875" style="37" customWidth="1"/>
    <col min="2" max="2" width="11.00390625" style="0" bestFit="1" customWidth="1"/>
    <col min="3" max="3" width="9.00390625" style="37" bestFit="1" customWidth="1"/>
    <col min="4" max="4" width="5.375" style="37" customWidth="1"/>
    <col min="5" max="5" width="11.00390625" style="0" bestFit="1" customWidth="1"/>
    <col min="6" max="6" width="10.625" style="37" customWidth="1"/>
    <col min="7" max="7" width="5.875" style="37" customWidth="1"/>
    <col min="8" max="8" width="11.00390625" style="0" bestFit="1" customWidth="1"/>
    <col min="9" max="9" width="12.125" style="37" bestFit="1" customWidth="1"/>
    <col min="10" max="10" width="9.00390625" style="37" customWidth="1"/>
  </cols>
  <sheetData>
    <row r="1" ht="13.5">
      <c r="A1" t="s">
        <v>177</v>
      </c>
    </row>
    <row r="2" spans="2:8" ht="13.5">
      <c r="B2" s="29"/>
      <c r="C2" s="37" t="s">
        <v>176</v>
      </c>
      <c r="E2" s="29"/>
      <c r="F2" s="37" t="s">
        <v>123</v>
      </c>
      <c r="H2" s="29"/>
    </row>
    <row r="3" spans="1:9" ht="24.75" customHeight="1">
      <c r="A3" s="38" t="s">
        <v>124</v>
      </c>
      <c r="B3" s="34" t="s">
        <v>125</v>
      </c>
      <c r="C3" s="38" t="s">
        <v>2</v>
      </c>
      <c r="D3" s="38" t="s">
        <v>124</v>
      </c>
      <c r="E3" s="34" t="s">
        <v>125</v>
      </c>
      <c r="F3" s="38" t="s">
        <v>126</v>
      </c>
      <c r="G3" s="38" t="s">
        <v>124</v>
      </c>
      <c r="H3" s="34" t="s">
        <v>125</v>
      </c>
      <c r="I3" s="38" t="s">
        <v>127</v>
      </c>
    </row>
    <row r="4" spans="1:9" ht="13.5">
      <c r="A4" s="35"/>
      <c r="B4" s="39" t="s">
        <v>128</v>
      </c>
      <c r="C4" s="35">
        <f>SUM(C5:C51)</f>
        <v>379549</v>
      </c>
      <c r="D4" s="35"/>
      <c r="E4" s="39" t="s">
        <v>128</v>
      </c>
      <c r="F4" s="35">
        <f>SUM(F5:F51)</f>
        <v>4001961</v>
      </c>
      <c r="G4" s="35"/>
      <c r="H4" s="39" t="s">
        <v>128</v>
      </c>
      <c r="I4" s="35">
        <v>413354831</v>
      </c>
    </row>
    <row r="5" spans="1:9" ht="13.5">
      <c r="A5" s="35">
        <v>1</v>
      </c>
      <c r="B5" s="39" t="s">
        <v>129</v>
      </c>
      <c r="C5" s="35">
        <v>57653</v>
      </c>
      <c r="D5" s="35">
        <v>1</v>
      </c>
      <c r="E5" s="39" t="s">
        <v>129</v>
      </c>
      <c r="F5" s="35">
        <v>903221</v>
      </c>
      <c r="G5" s="35">
        <v>1</v>
      </c>
      <c r="H5" s="39" t="s">
        <v>129</v>
      </c>
      <c r="I5" s="35">
        <v>159958252</v>
      </c>
    </row>
    <row r="6" spans="1:9" ht="13.5">
      <c r="A6" s="35">
        <v>2</v>
      </c>
      <c r="B6" s="39" t="s">
        <v>130</v>
      </c>
      <c r="C6" s="35">
        <v>39476</v>
      </c>
      <c r="D6" s="35">
        <v>2</v>
      </c>
      <c r="E6" s="39" t="s">
        <v>130</v>
      </c>
      <c r="F6" s="35">
        <v>499810</v>
      </c>
      <c r="G6" s="35">
        <v>2</v>
      </c>
      <c r="H6" s="39" t="s">
        <v>130</v>
      </c>
      <c r="I6" s="35">
        <v>53414365</v>
      </c>
    </row>
    <row r="7" spans="1:9" ht="13.5">
      <c r="A7" s="35">
        <v>3</v>
      </c>
      <c r="B7" s="39" t="s">
        <v>131</v>
      </c>
      <c r="C7" s="35">
        <v>26421</v>
      </c>
      <c r="D7" s="35">
        <v>3</v>
      </c>
      <c r="E7" s="39" t="s">
        <v>131</v>
      </c>
      <c r="F7" s="35">
        <v>287515</v>
      </c>
      <c r="G7" s="35">
        <v>3</v>
      </c>
      <c r="H7" s="39" t="s">
        <v>131</v>
      </c>
      <c r="I7" s="35">
        <v>33465615</v>
      </c>
    </row>
    <row r="8" spans="1:9" ht="13.5">
      <c r="A8" s="35">
        <v>4</v>
      </c>
      <c r="B8" s="39" t="s">
        <v>133</v>
      </c>
      <c r="C8" s="35">
        <v>16736</v>
      </c>
      <c r="D8" s="35">
        <v>4</v>
      </c>
      <c r="E8" s="39" t="s">
        <v>133</v>
      </c>
      <c r="F8" s="35">
        <v>177381</v>
      </c>
      <c r="G8" s="35">
        <v>4</v>
      </c>
      <c r="H8" s="39" t="s">
        <v>133</v>
      </c>
      <c r="I8" s="35">
        <v>16811792</v>
      </c>
    </row>
    <row r="9" spans="1:9" ht="13.5">
      <c r="A9" s="35">
        <v>5</v>
      </c>
      <c r="B9" s="39" t="s">
        <v>134</v>
      </c>
      <c r="C9" s="35">
        <v>15499</v>
      </c>
      <c r="D9" s="35">
        <v>5</v>
      </c>
      <c r="E9" s="39" t="s">
        <v>132</v>
      </c>
      <c r="F9" s="35">
        <v>148624</v>
      </c>
      <c r="G9" s="35">
        <v>5</v>
      </c>
      <c r="H9" s="39" t="s">
        <v>134</v>
      </c>
      <c r="I9" s="35">
        <v>13571643</v>
      </c>
    </row>
    <row r="10" spans="1:9" ht="13.5">
      <c r="A10" s="35">
        <v>6</v>
      </c>
      <c r="B10" s="39" t="s">
        <v>132</v>
      </c>
      <c r="C10" s="35">
        <v>14520</v>
      </c>
      <c r="D10" s="35">
        <v>6</v>
      </c>
      <c r="E10" s="39" t="s">
        <v>134</v>
      </c>
      <c r="F10" s="35">
        <v>148077</v>
      </c>
      <c r="G10" s="35">
        <v>6</v>
      </c>
      <c r="H10" s="39" t="s">
        <v>132</v>
      </c>
      <c r="I10" s="35">
        <v>11564583</v>
      </c>
    </row>
    <row r="11" spans="1:9" ht="13.5">
      <c r="A11" s="35">
        <v>7</v>
      </c>
      <c r="B11" s="39" t="s">
        <v>136</v>
      </c>
      <c r="C11" s="35">
        <v>13677</v>
      </c>
      <c r="D11" s="35">
        <v>7</v>
      </c>
      <c r="E11" s="39" t="s">
        <v>136</v>
      </c>
      <c r="F11" s="35">
        <v>125529</v>
      </c>
      <c r="G11" s="35">
        <v>7</v>
      </c>
      <c r="H11" s="39" t="s">
        <v>138</v>
      </c>
      <c r="I11" s="35">
        <v>9434146</v>
      </c>
    </row>
    <row r="12" spans="1:9" ht="13.5">
      <c r="A12" s="35">
        <v>8</v>
      </c>
      <c r="B12" s="39" t="s">
        <v>135</v>
      </c>
      <c r="C12" s="35">
        <v>12946</v>
      </c>
      <c r="D12" s="35">
        <v>8</v>
      </c>
      <c r="E12" s="39" t="s">
        <v>135</v>
      </c>
      <c r="F12" s="35">
        <v>114788</v>
      </c>
      <c r="G12" s="35">
        <v>8</v>
      </c>
      <c r="H12" s="39" t="s">
        <v>136</v>
      </c>
      <c r="I12" s="35">
        <v>8931834</v>
      </c>
    </row>
    <row r="13" spans="1:9" ht="13.5">
      <c r="A13" s="35">
        <v>9</v>
      </c>
      <c r="B13" s="39" t="s">
        <v>139</v>
      </c>
      <c r="C13" s="35">
        <v>12014</v>
      </c>
      <c r="D13" s="35">
        <v>9</v>
      </c>
      <c r="E13" s="39" t="s">
        <v>139</v>
      </c>
      <c r="F13" s="35">
        <v>100558</v>
      </c>
      <c r="G13" s="35">
        <v>9</v>
      </c>
      <c r="H13" s="39" t="s">
        <v>141</v>
      </c>
      <c r="I13" s="35">
        <v>8406629</v>
      </c>
    </row>
    <row r="14" spans="1:9" ht="13.5">
      <c r="A14" s="35">
        <v>10</v>
      </c>
      <c r="B14" s="39" t="s">
        <v>137</v>
      </c>
      <c r="C14" s="35">
        <v>9799</v>
      </c>
      <c r="D14" s="35">
        <v>10</v>
      </c>
      <c r="E14" s="39" t="s">
        <v>138</v>
      </c>
      <c r="F14" s="35">
        <v>98905</v>
      </c>
      <c r="G14" s="35">
        <v>10</v>
      </c>
      <c r="H14" s="39" t="s">
        <v>135</v>
      </c>
      <c r="I14" s="35">
        <v>7671281</v>
      </c>
    </row>
    <row r="15" spans="1:9" ht="13.5">
      <c r="A15" s="35">
        <v>11</v>
      </c>
      <c r="B15" s="39" t="s">
        <v>138</v>
      </c>
      <c r="C15" s="35">
        <v>9779</v>
      </c>
      <c r="D15" s="35">
        <v>11</v>
      </c>
      <c r="E15" s="39" t="s">
        <v>137</v>
      </c>
      <c r="F15" s="35">
        <v>90447</v>
      </c>
      <c r="G15" s="35">
        <v>11</v>
      </c>
      <c r="H15" s="39" t="s">
        <v>139</v>
      </c>
      <c r="I15" s="35">
        <v>7181888</v>
      </c>
    </row>
    <row r="16" spans="1:9" ht="13.5">
      <c r="A16" s="35">
        <v>12</v>
      </c>
      <c r="B16" s="39" t="s">
        <v>141</v>
      </c>
      <c r="C16" s="35">
        <v>8358</v>
      </c>
      <c r="D16" s="35">
        <v>12</v>
      </c>
      <c r="E16" s="39" t="s">
        <v>141</v>
      </c>
      <c r="F16" s="35">
        <v>82193</v>
      </c>
      <c r="G16" s="35">
        <v>12</v>
      </c>
      <c r="H16" s="39" t="s">
        <v>137</v>
      </c>
      <c r="I16" s="35">
        <v>6607030</v>
      </c>
    </row>
    <row r="17" spans="1:9" ht="13.5">
      <c r="A17" s="35">
        <v>13</v>
      </c>
      <c r="B17" s="39" t="s">
        <v>140</v>
      </c>
      <c r="C17" s="35">
        <v>8257</v>
      </c>
      <c r="D17" s="35">
        <v>13</v>
      </c>
      <c r="E17" s="39" t="s">
        <v>140</v>
      </c>
      <c r="F17" s="35">
        <v>76793</v>
      </c>
      <c r="G17" s="35">
        <v>13</v>
      </c>
      <c r="H17" s="39" t="s">
        <v>142</v>
      </c>
      <c r="I17" s="35">
        <v>4754803</v>
      </c>
    </row>
    <row r="18" spans="1:9" ht="13.5">
      <c r="A18" s="35">
        <v>14</v>
      </c>
      <c r="B18" s="39" t="s">
        <v>142</v>
      </c>
      <c r="C18" s="35">
        <v>7873</v>
      </c>
      <c r="D18" s="35">
        <v>14</v>
      </c>
      <c r="E18" s="39" t="s">
        <v>142</v>
      </c>
      <c r="F18" s="35">
        <v>71208</v>
      </c>
      <c r="G18" s="35">
        <v>14</v>
      </c>
      <c r="H18" s="39" t="s">
        <v>140</v>
      </c>
      <c r="I18" s="35">
        <v>4290131</v>
      </c>
    </row>
    <row r="19" spans="1:9" ht="13.5">
      <c r="A19" s="35">
        <v>15</v>
      </c>
      <c r="B19" s="39" t="s">
        <v>144</v>
      </c>
      <c r="C19" s="35">
        <v>7043</v>
      </c>
      <c r="D19" s="35">
        <v>15</v>
      </c>
      <c r="E19" s="39" t="s">
        <v>144</v>
      </c>
      <c r="F19" s="35">
        <v>57086</v>
      </c>
      <c r="G19" s="35">
        <v>15</v>
      </c>
      <c r="H19" s="39" t="s">
        <v>145</v>
      </c>
      <c r="I19" s="35">
        <v>3979824</v>
      </c>
    </row>
    <row r="20" spans="1:9" ht="13.5">
      <c r="A20" s="35">
        <v>16</v>
      </c>
      <c r="B20" s="39" t="s">
        <v>143</v>
      </c>
      <c r="C20" s="35">
        <v>6523</v>
      </c>
      <c r="D20" s="35">
        <v>16</v>
      </c>
      <c r="E20" s="39" t="s">
        <v>145</v>
      </c>
      <c r="F20" s="35">
        <v>55387</v>
      </c>
      <c r="G20" s="35">
        <v>16</v>
      </c>
      <c r="H20" s="39" t="s">
        <v>143</v>
      </c>
      <c r="I20" s="35">
        <v>3591967</v>
      </c>
    </row>
    <row r="21" spans="1:9" ht="13.5">
      <c r="A21" s="35">
        <v>17</v>
      </c>
      <c r="B21" s="39" t="s">
        <v>145</v>
      </c>
      <c r="C21" s="35">
        <v>6183</v>
      </c>
      <c r="D21" s="35">
        <v>17</v>
      </c>
      <c r="E21" s="39" t="s">
        <v>143</v>
      </c>
      <c r="F21" s="35">
        <v>54122</v>
      </c>
      <c r="G21" s="35">
        <v>17</v>
      </c>
      <c r="H21" s="39" t="s">
        <v>146</v>
      </c>
      <c r="I21" s="35">
        <v>3561652</v>
      </c>
    </row>
    <row r="22" spans="1:9" ht="13.5">
      <c r="A22" s="35">
        <v>18</v>
      </c>
      <c r="B22" s="39" t="s">
        <v>148</v>
      </c>
      <c r="C22" s="35">
        <v>5617</v>
      </c>
      <c r="D22" s="35">
        <v>18</v>
      </c>
      <c r="E22" s="39" t="s">
        <v>149</v>
      </c>
      <c r="F22" s="35">
        <v>49089</v>
      </c>
      <c r="G22" s="35">
        <v>18</v>
      </c>
      <c r="H22" s="39" t="s">
        <v>149</v>
      </c>
      <c r="I22" s="35">
        <v>3558950</v>
      </c>
    </row>
    <row r="23" spans="1:9" ht="13.5">
      <c r="A23" s="35">
        <v>19</v>
      </c>
      <c r="B23" s="39" t="s">
        <v>146</v>
      </c>
      <c r="C23" s="35">
        <v>5606</v>
      </c>
      <c r="D23" s="35">
        <v>19</v>
      </c>
      <c r="E23" s="39" t="s">
        <v>148</v>
      </c>
      <c r="F23" s="35">
        <v>48842</v>
      </c>
      <c r="G23" s="35">
        <v>19</v>
      </c>
      <c r="H23" s="39" t="s">
        <v>148</v>
      </c>
      <c r="I23" s="35">
        <v>3183160</v>
      </c>
    </row>
    <row r="24" spans="1:9" ht="13.5">
      <c r="A24" s="35">
        <v>20</v>
      </c>
      <c r="B24" s="39" t="s">
        <v>147</v>
      </c>
      <c r="C24" s="35">
        <v>5392</v>
      </c>
      <c r="D24" s="35">
        <v>20</v>
      </c>
      <c r="E24" s="39" t="s">
        <v>146</v>
      </c>
      <c r="F24" s="35">
        <v>47152</v>
      </c>
      <c r="G24" s="35">
        <v>20</v>
      </c>
      <c r="H24" s="39" t="s">
        <v>153</v>
      </c>
      <c r="I24" s="35">
        <v>3068717</v>
      </c>
    </row>
    <row r="25" spans="1:9" ht="13.5">
      <c r="A25" s="35">
        <v>21</v>
      </c>
      <c r="B25" s="39" t="s">
        <v>149</v>
      </c>
      <c r="C25" s="35">
        <v>5144</v>
      </c>
      <c r="D25" s="35">
        <v>21</v>
      </c>
      <c r="E25" s="39" t="s">
        <v>147</v>
      </c>
      <c r="F25" s="35">
        <v>43768</v>
      </c>
      <c r="G25" s="35">
        <v>21</v>
      </c>
      <c r="H25" s="39" t="s">
        <v>144</v>
      </c>
      <c r="I25" s="35">
        <v>3047157</v>
      </c>
    </row>
    <row r="26" spans="1:9" ht="13.5">
      <c r="A26" s="35">
        <v>22</v>
      </c>
      <c r="B26" s="39" t="s">
        <v>157</v>
      </c>
      <c r="C26" s="35">
        <v>4692</v>
      </c>
      <c r="D26" s="35">
        <v>22</v>
      </c>
      <c r="E26" s="39" t="s">
        <v>151</v>
      </c>
      <c r="F26" s="35">
        <v>41741</v>
      </c>
      <c r="G26" s="35">
        <v>22</v>
      </c>
      <c r="H26" s="39" t="s">
        <v>154</v>
      </c>
      <c r="I26" s="35">
        <v>2971169</v>
      </c>
    </row>
    <row r="27" spans="1:9" ht="13.5">
      <c r="A27" s="35">
        <v>23</v>
      </c>
      <c r="B27" s="39" t="s">
        <v>151</v>
      </c>
      <c r="C27" s="35">
        <v>4529</v>
      </c>
      <c r="D27" s="35">
        <v>23</v>
      </c>
      <c r="E27" s="39" t="s">
        <v>157</v>
      </c>
      <c r="F27" s="35">
        <v>39837</v>
      </c>
      <c r="G27" s="35">
        <v>23</v>
      </c>
      <c r="H27" s="39" t="s">
        <v>147</v>
      </c>
      <c r="I27" s="35">
        <v>2753139</v>
      </c>
    </row>
    <row r="28" spans="1:9" ht="13.5">
      <c r="A28" s="35">
        <v>24</v>
      </c>
      <c r="B28" s="39" t="s">
        <v>150</v>
      </c>
      <c r="C28" s="35">
        <v>4528</v>
      </c>
      <c r="D28" s="35">
        <v>24</v>
      </c>
      <c r="E28" s="39" t="s">
        <v>154</v>
      </c>
      <c r="F28" s="35">
        <v>39527</v>
      </c>
      <c r="G28" s="35">
        <v>24</v>
      </c>
      <c r="H28" s="39" t="s">
        <v>150</v>
      </c>
      <c r="I28" s="35">
        <v>2631813</v>
      </c>
    </row>
    <row r="29" spans="1:9" ht="13.5">
      <c r="A29" s="35">
        <v>25</v>
      </c>
      <c r="B29" s="39" t="s">
        <v>152</v>
      </c>
      <c r="C29" s="35">
        <v>4472</v>
      </c>
      <c r="D29" s="35">
        <v>25</v>
      </c>
      <c r="E29" s="39" t="s">
        <v>150</v>
      </c>
      <c r="F29" s="35">
        <v>38942</v>
      </c>
      <c r="G29" s="35">
        <v>25</v>
      </c>
      <c r="H29" s="39" t="s">
        <v>157</v>
      </c>
      <c r="I29" s="35">
        <v>2422270</v>
      </c>
    </row>
    <row r="30" spans="1:9" ht="13.5">
      <c r="A30" s="35">
        <v>26</v>
      </c>
      <c r="B30" s="39" t="s">
        <v>154</v>
      </c>
      <c r="C30" s="35">
        <v>4240</v>
      </c>
      <c r="D30" s="35">
        <v>26</v>
      </c>
      <c r="E30" s="39" t="s">
        <v>152</v>
      </c>
      <c r="F30" s="35">
        <v>35454</v>
      </c>
      <c r="G30" s="35">
        <v>26</v>
      </c>
      <c r="H30" s="39" t="s">
        <v>151</v>
      </c>
      <c r="I30" s="35">
        <v>2416483</v>
      </c>
    </row>
    <row r="31" spans="1:9" ht="13.5">
      <c r="A31" s="35">
        <v>27</v>
      </c>
      <c r="B31" s="39" t="s">
        <v>156</v>
      </c>
      <c r="C31" s="35">
        <v>4160</v>
      </c>
      <c r="D31" s="35">
        <v>27</v>
      </c>
      <c r="E31" s="39" t="s">
        <v>155</v>
      </c>
      <c r="F31" s="35">
        <v>34868</v>
      </c>
      <c r="G31" s="35">
        <v>27</v>
      </c>
      <c r="H31" s="39" t="s">
        <v>158</v>
      </c>
      <c r="I31" s="35">
        <v>2157924</v>
      </c>
    </row>
    <row r="32" spans="1:9" ht="13.5">
      <c r="A32" s="35">
        <v>28</v>
      </c>
      <c r="B32" s="39" t="s">
        <v>155</v>
      </c>
      <c r="C32" s="35">
        <v>4064</v>
      </c>
      <c r="D32" s="35">
        <v>28</v>
      </c>
      <c r="E32" s="39" t="s">
        <v>158</v>
      </c>
      <c r="F32" s="35">
        <v>34597</v>
      </c>
      <c r="G32" s="35">
        <v>28</v>
      </c>
      <c r="H32" s="39" t="s">
        <v>159</v>
      </c>
      <c r="I32" s="35">
        <v>2129830</v>
      </c>
    </row>
    <row r="33" spans="1:9" ht="13.5">
      <c r="A33" s="35">
        <v>29</v>
      </c>
      <c r="B33" s="39" t="s">
        <v>153</v>
      </c>
      <c r="C33" s="35">
        <v>3757</v>
      </c>
      <c r="D33" s="35">
        <v>29</v>
      </c>
      <c r="E33" s="39" t="s">
        <v>153</v>
      </c>
      <c r="F33" s="35">
        <v>33899</v>
      </c>
      <c r="G33" s="35">
        <v>29</v>
      </c>
      <c r="H33" s="39" t="s">
        <v>163</v>
      </c>
      <c r="I33" s="35">
        <v>2060241</v>
      </c>
    </row>
    <row r="34" spans="1:9" ht="13.5">
      <c r="A34" s="35">
        <v>30</v>
      </c>
      <c r="B34" s="39" t="s">
        <v>158</v>
      </c>
      <c r="C34" s="35">
        <v>3737</v>
      </c>
      <c r="D34" s="35">
        <v>30</v>
      </c>
      <c r="E34" s="39" t="s">
        <v>156</v>
      </c>
      <c r="F34" s="35">
        <v>33567</v>
      </c>
      <c r="G34" s="35">
        <v>30</v>
      </c>
      <c r="H34" s="39" t="s">
        <v>152</v>
      </c>
      <c r="I34" s="35">
        <v>2034327</v>
      </c>
    </row>
    <row r="35" spans="1:9" ht="13.5">
      <c r="A35" s="35">
        <v>31</v>
      </c>
      <c r="B35" s="39" t="s">
        <v>163</v>
      </c>
      <c r="C35" s="35">
        <v>3513</v>
      </c>
      <c r="D35" s="35">
        <v>31</v>
      </c>
      <c r="E35" s="39" t="s">
        <v>163</v>
      </c>
      <c r="F35" s="35">
        <v>31094</v>
      </c>
      <c r="G35" s="35">
        <v>31</v>
      </c>
      <c r="H35" s="39" t="s">
        <v>156</v>
      </c>
      <c r="I35" s="35">
        <v>2033333</v>
      </c>
    </row>
    <row r="36" spans="1:9" ht="13.5">
      <c r="A36" s="35">
        <v>32</v>
      </c>
      <c r="B36" s="39" t="s">
        <v>159</v>
      </c>
      <c r="C36" s="35">
        <v>3498</v>
      </c>
      <c r="D36" s="35">
        <v>32</v>
      </c>
      <c r="E36" s="39" t="s">
        <v>159</v>
      </c>
      <c r="F36" s="35">
        <v>30689</v>
      </c>
      <c r="G36" s="35">
        <v>32</v>
      </c>
      <c r="H36" s="39" t="s">
        <v>155</v>
      </c>
      <c r="I36" s="35">
        <v>1806681</v>
      </c>
    </row>
    <row r="37" spans="1:9" ht="13.5">
      <c r="A37" s="35">
        <v>33</v>
      </c>
      <c r="B37" s="39" t="s">
        <v>161</v>
      </c>
      <c r="C37" s="35">
        <v>3477</v>
      </c>
      <c r="D37" s="35">
        <v>33</v>
      </c>
      <c r="E37" s="39" t="s">
        <v>160</v>
      </c>
      <c r="F37" s="35">
        <v>29702</v>
      </c>
      <c r="G37" s="35">
        <v>33</v>
      </c>
      <c r="H37" s="39" t="s">
        <v>161</v>
      </c>
      <c r="I37" s="35">
        <v>1668736</v>
      </c>
    </row>
    <row r="38" spans="1:9" ht="13.5">
      <c r="A38" s="35">
        <v>34</v>
      </c>
      <c r="B38" s="39" t="s">
        <v>162</v>
      </c>
      <c r="C38" s="35">
        <v>3430</v>
      </c>
      <c r="D38" s="35">
        <v>34</v>
      </c>
      <c r="E38" s="39" t="s">
        <v>161</v>
      </c>
      <c r="F38" s="35">
        <v>27934</v>
      </c>
      <c r="G38" s="35">
        <v>34</v>
      </c>
      <c r="H38" s="39" t="s">
        <v>166</v>
      </c>
      <c r="I38" s="35">
        <v>1588685</v>
      </c>
    </row>
    <row r="39" spans="1:9" ht="13.5">
      <c r="A39" s="35">
        <v>35</v>
      </c>
      <c r="B39" s="39" t="s">
        <v>160</v>
      </c>
      <c r="C39" s="35">
        <v>3289</v>
      </c>
      <c r="D39" s="35">
        <v>35</v>
      </c>
      <c r="E39" s="39" t="s">
        <v>162</v>
      </c>
      <c r="F39" s="35">
        <v>27278</v>
      </c>
      <c r="G39" s="35">
        <v>35</v>
      </c>
      <c r="H39" s="39" t="s">
        <v>165</v>
      </c>
      <c r="I39" s="35">
        <v>1532529</v>
      </c>
    </row>
    <row r="40" spans="1:9" ht="13.5">
      <c r="A40" s="35">
        <v>36</v>
      </c>
      <c r="B40" s="39" t="s">
        <v>166</v>
      </c>
      <c r="C40" s="35">
        <v>3225</v>
      </c>
      <c r="D40" s="35">
        <v>36</v>
      </c>
      <c r="E40" s="39" t="s">
        <v>166</v>
      </c>
      <c r="F40" s="35">
        <v>26123</v>
      </c>
      <c r="G40" s="35">
        <v>36</v>
      </c>
      <c r="H40" s="39" t="s">
        <v>162</v>
      </c>
      <c r="I40" s="35">
        <v>1465107</v>
      </c>
    </row>
    <row r="41" spans="1:9" ht="13.5">
      <c r="A41" s="35">
        <v>37</v>
      </c>
      <c r="B41" s="39" t="s">
        <v>165</v>
      </c>
      <c r="C41" s="35">
        <v>3055</v>
      </c>
      <c r="D41" s="35">
        <v>37</v>
      </c>
      <c r="E41" s="39" t="s">
        <v>165</v>
      </c>
      <c r="F41" s="35">
        <v>25166</v>
      </c>
      <c r="G41" s="35">
        <v>37</v>
      </c>
      <c r="H41" s="39" t="s">
        <v>160</v>
      </c>
      <c r="I41" s="35">
        <v>1463829</v>
      </c>
    </row>
    <row r="42" spans="1:9" ht="13.5">
      <c r="A42" s="35">
        <v>38</v>
      </c>
      <c r="B42" s="39" t="s">
        <v>169</v>
      </c>
      <c r="C42" s="35">
        <v>2911</v>
      </c>
      <c r="D42" s="35">
        <v>38</v>
      </c>
      <c r="E42" s="39" t="s">
        <v>169</v>
      </c>
      <c r="F42" s="35">
        <v>24182</v>
      </c>
      <c r="G42" s="35">
        <v>38</v>
      </c>
      <c r="H42" s="39" t="s">
        <v>169</v>
      </c>
      <c r="I42" s="35">
        <v>1410470</v>
      </c>
    </row>
    <row r="43" spans="1:9" ht="13.5">
      <c r="A43" s="35">
        <v>39</v>
      </c>
      <c r="B43" s="39" t="s">
        <v>167</v>
      </c>
      <c r="C43" s="35">
        <v>2860</v>
      </c>
      <c r="D43" s="35">
        <v>39</v>
      </c>
      <c r="E43" s="39" t="s">
        <v>164</v>
      </c>
      <c r="F43" s="35">
        <v>21064</v>
      </c>
      <c r="G43" s="35">
        <v>39</v>
      </c>
      <c r="H43" s="39" t="s">
        <v>164</v>
      </c>
      <c r="I43" s="35">
        <v>1225601</v>
      </c>
    </row>
    <row r="44" spans="1:9" ht="13.5">
      <c r="A44" s="35">
        <v>40</v>
      </c>
      <c r="B44" s="39" t="s">
        <v>164</v>
      </c>
      <c r="C44" s="35">
        <v>2647</v>
      </c>
      <c r="D44" s="35">
        <v>40</v>
      </c>
      <c r="E44" s="39" t="s">
        <v>167</v>
      </c>
      <c r="F44" s="35">
        <v>20935</v>
      </c>
      <c r="G44" s="35">
        <v>40</v>
      </c>
      <c r="H44" s="39" t="s">
        <v>170</v>
      </c>
      <c r="I44" s="35">
        <v>1029998</v>
      </c>
    </row>
    <row r="45" spans="1:9" ht="13.5">
      <c r="A45" s="35">
        <v>41</v>
      </c>
      <c r="B45" s="39" t="s">
        <v>172</v>
      </c>
      <c r="C45" s="35">
        <v>2398</v>
      </c>
      <c r="D45" s="35">
        <v>41</v>
      </c>
      <c r="E45" s="39" t="s">
        <v>170</v>
      </c>
      <c r="F45" s="35">
        <v>19540</v>
      </c>
      <c r="G45" s="35">
        <v>41</v>
      </c>
      <c r="H45" s="39" t="s">
        <v>171</v>
      </c>
      <c r="I45" s="35">
        <v>1028250</v>
      </c>
    </row>
    <row r="46" spans="1:9" ht="13.5">
      <c r="A46" s="35">
        <v>42</v>
      </c>
      <c r="B46" s="39" t="s">
        <v>171</v>
      </c>
      <c r="C46" s="35">
        <v>2305</v>
      </c>
      <c r="D46" s="35">
        <v>42</v>
      </c>
      <c r="E46" s="39" t="s">
        <v>171</v>
      </c>
      <c r="F46" s="35">
        <v>18984</v>
      </c>
      <c r="G46" s="35">
        <v>42</v>
      </c>
      <c r="H46" s="39" t="s">
        <v>172</v>
      </c>
      <c r="I46" s="35">
        <v>985826</v>
      </c>
    </row>
    <row r="47" spans="1:9" ht="13.5">
      <c r="A47" s="35">
        <v>43</v>
      </c>
      <c r="B47" s="39" t="s">
        <v>170</v>
      </c>
      <c r="C47" s="35">
        <v>2259</v>
      </c>
      <c r="D47" s="35">
        <v>43</v>
      </c>
      <c r="E47" s="39" t="s">
        <v>173</v>
      </c>
      <c r="F47" s="35">
        <v>18407</v>
      </c>
      <c r="G47" s="35">
        <v>43</v>
      </c>
      <c r="H47" s="39" t="s">
        <v>167</v>
      </c>
      <c r="I47" s="35">
        <v>984975</v>
      </c>
    </row>
    <row r="48" spans="1:9" ht="13.5">
      <c r="A48" s="35">
        <v>44</v>
      </c>
      <c r="B48" s="39" t="s">
        <v>174</v>
      </c>
      <c r="C48" s="35">
        <v>2247</v>
      </c>
      <c r="D48" s="35">
        <v>44</v>
      </c>
      <c r="E48" s="39" t="s">
        <v>172</v>
      </c>
      <c r="F48" s="35">
        <v>18307</v>
      </c>
      <c r="G48" s="35">
        <v>44</v>
      </c>
      <c r="H48" s="39" t="s">
        <v>173</v>
      </c>
      <c r="I48" s="35">
        <v>895144</v>
      </c>
    </row>
    <row r="49" spans="1:9" ht="13.5">
      <c r="A49" s="35">
        <v>45</v>
      </c>
      <c r="B49" s="39" t="s">
        <v>173</v>
      </c>
      <c r="C49" s="35">
        <v>2193</v>
      </c>
      <c r="D49" s="35">
        <v>45</v>
      </c>
      <c r="E49" s="39" t="s">
        <v>174</v>
      </c>
      <c r="F49" s="35">
        <v>17658</v>
      </c>
      <c r="G49" s="35">
        <v>45</v>
      </c>
      <c r="H49" s="39" t="s">
        <v>174</v>
      </c>
      <c r="I49" s="35">
        <v>894123</v>
      </c>
    </row>
    <row r="50" spans="1:9" ht="13.5">
      <c r="A50" s="35">
        <v>46</v>
      </c>
      <c r="B50" s="39" t="s">
        <v>168</v>
      </c>
      <c r="C50" s="35">
        <v>1905</v>
      </c>
      <c r="D50" s="35">
        <v>46</v>
      </c>
      <c r="E50" s="39" t="s">
        <v>168</v>
      </c>
      <c r="F50" s="35">
        <v>16459</v>
      </c>
      <c r="G50" s="35">
        <v>46</v>
      </c>
      <c r="H50" s="39" t="s">
        <v>168</v>
      </c>
      <c r="I50" s="35">
        <v>881922</v>
      </c>
    </row>
    <row r="51" spans="1:9" ht="13.5">
      <c r="A51" s="35">
        <v>47</v>
      </c>
      <c r="B51" s="39" t="s">
        <v>175</v>
      </c>
      <c r="C51" s="35">
        <v>1642</v>
      </c>
      <c r="D51" s="35">
        <v>47</v>
      </c>
      <c r="E51" s="39" t="s">
        <v>175</v>
      </c>
      <c r="F51" s="35">
        <v>15512</v>
      </c>
      <c r="G51" s="35">
        <v>47</v>
      </c>
      <c r="H51" s="39" t="s">
        <v>175</v>
      </c>
      <c r="I51" s="35">
        <v>827005</v>
      </c>
    </row>
  </sheetData>
  <printOptions/>
  <pageMargins left="0.89" right="0.75" top="1" bottom="1" header="0.53" footer="0.51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51"/>
  <sheetViews>
    <sheetView workbookViewId="0" topLeftCell="A1">
      <selection activeCell="A1" sqref="A1"/>
    </sheetView>
  </sheetViews>
  <sheetFormatPr defaultColWidth="9.00390625" defaultRowHeight="13.5"/>
  <cols>
    <col min="1" max="1" width="4.875" style="37" customWidth="1"/>
    <col min="2" max="2" width="11.00390625" style="0" bestFit="1" customWidth="1"/>
    <col min="3" max="3" width="9.00390625" style="37" bestFit="1" customWidth="1"/>
    <col min="4" max="4" width="5.375" style="37" customWidth="1"/>
    <col min="5" max="5" width="11.00390625" style="0" bestFit="1" customWidth="1"/>
    <col min="6" max="6" width="10.625" style="37" customWidth="1"/>
    <col min="7" max="7" width="5.875" style="37" customWidth="1"/>
    <col min="8" max="8" width="11.00390625" style="0" bestFit="1" customWidth="1"/>
    <col min="9" max="9" width="12.125" style="37" bestFit="1" customWidth="1"/>
    <col min="10" max="10" width="9.00390625" style="37" customWidth="1"/>
  </cols>
  <sheetData>
    <row r="1" ht="13.5">
      <c r="A1" t="s">
        <v>178</v>
      </c>
    </row>
    <row r="2" spans="2:8" ht="13.5">
      <c r="B2" s="29"/>
      <c r="C2" s="37" t="s">
        <v>176</v>
      </c>
      <c r="E2" s="29"/>
      <c r="F2" s="37" t="s">
        <v>123</v>
      </c>
      <c r="H2" s="29"/>
    </row>
    <row r="3" spans="1:9" ht="24.75" customHeight="1">
      <c r="A3" s="38" t="s">
        <v>124</v>
      </c>
      <c r="B3" s="34" t="s">
        <v>125</v>
      </c>
      <c r="C3" s="38" t="s">
        <v>2</v>
      </c>
      <c r="D3" s="38" t="s">
        <v>124</v>
      </c>
      <c r="E3" s="34" t="s">
        <v>125</v>
      </c>
      <c r="F3" s="38" t="s">
        <v>126</v>
      </c>
      <c r="G3" s="38" t="s">
        <v>124</v>
      </c>
      <c r="H3" s="34" t="s">
        <v>125</v>
      </c>
      <c r="I3" s="38" t="s">
        <v>127</v>
      </c>
    </row>
    <row r="4" spans="1:9" ht="13.5">
      <c r="A4" s="35"/>
      <c r="B4" s="39" t="s">
        <v>128</v>
      </c>
      <c r="C4" s="35">
        <f>SUM(C5:C51)</f>
        <v>1300057</v>
      </c>
      <c r="D4" s="35"/>
      <c r="E4" s="39" t="s">
        <v>128</v>
      </c>
      <c r="F4" s="35">
        <f>SUM(F5:F51)</f>
        <v>7972805</v>
      </c>
      <c r="G4" s="35"/>
      <c r="H4" s="39" t="s">
        <v>128</v>
      </c>
      <c r="I4" s="35">
        <v>135109295</v>
      </c>
    </row>
    <row r="5" spans="1:9" ht="13.5">
      <c r="A5" s="35">
        <v>1</v>
      </c>
      <c r="B5" s="39" t="s">
        <v>129</v>
      </c>
      <c r="C5" s="35">
        <v>119016</v>
      </c>
      <c r="D5" s="35">
        <v>1</v>
      </c>
      <c r="E5" s="39" t="s">
        <v>129</v>
      </c>
      <c r="F5" s="35">
        <v>810631</v>
      </c>
      <c r="G5" s="35">
        <v>1</v>
      </c>
      <c r="H5" s="39" t="s">
        <v>129</v>
      </c>
      <c r="I5" s="35">
        <v>16746035</v>
      </c>
    </row>
    <row r="6" spans="1:9" ht="13.5">
      <c r="A6" s="35">
        <v>2</v>
      </c>
      <c r="B6" s="39" t="s">
        <v>130</v>
      </c>
      <c r="C6" s="35">
        <v>86644</v>
      </c>
      <c r="D6" s="35">
        <v>2</v>
      </c>
      <c r="E6" s="39" t="s">
        <v>130</v>
      </c>
      <c r="F6" s="35">
        <v>549692</v>
      </c>
      <c r="G6" s="35">
        <v>2</v>
      </c>
      <c r="H6" s="39" t="s">
        <v>130</v>
      </c>
      <c r="I6" s="35">
        <v>9649377</v>
      </c>
    </row>
    <row r="7" spans="1:9" ht="13.5">
      <c r="A7" s="35">
        <v>3</v>
      </c>
      <c r="B7" s="39" t="s">
        <v>131</v>
      </c>
      <c r="C7" s="35">
        <v>65689</v>
      </c>
      <c r="D7" s="35">
        <v>3</v>
      </c>
      <c r="E7" s="39" t="s">
        <v>132</v>
      </c>
      <c r="F7" s="35">
        <v>483992</v>
      </c>
      <c r="G7" s="35">
        <v>3</v>
      </c>
      <c r="H7" s="39" t="s">
        <v>132</v>
      </c>
      <c r="I7" s="35">
        <v>8464265</v>
      </c>
    </row>
    <row r="8" spans="1:9" ht="13.5">
      <c r="A8" s="35">
        <v>4</v>
      </c>
      <c r="B8" s="39" t="s">
        <v>132</v>
      </c>
      <c r="C8" s="35">
        <v>61940</v>
      </c>
      <c r="D8" s="35">
        <v>4</v>
      </c>
      <c r="E8" s="39" t="s">
        <v>131</v>
      </c>
      <c r="F8" s="35">
        <v>446797</v>
      </c>
      <c r="G8" s="35">
        <v>4</v>
      </c>
      <c r="H8" s="39" t="s">
        <v>131</v>
      </c>
      <c r="I8" s="35">
        <v>8059876</v>
      </c>
    </row>
    <row r="9" spans="1:9" ht="13.5">
      <c r="A9" s="35">
        <v>5</v>
      </c>
      <c r="B9" s="39" t="s">
        <v>135</v>
      </c>
      <c r="C9" s="35">
        <v>55505</v>
      </c>
      <c r="D9" s="35">
        <v>5</v>
      </c>
      <c r="E9" s="39" t="s">
        <v>134</v>
      </c>
      <c r="F9" s="35">
        <v>368441</v>
      </c>
      <c r="G9" s="35">
        <v>5</v>
      </c>
      <c r="H9" s="39" t="s">
        <v>134</v>
      </c>
      <c r="I9" s="35">
        <v>6676190</v>
      </c>
    </row>
    <row r="10" spans="1:9" ht="13.5">
      <c r="A10" s="35">
        <v>6</v>
      </c>
      <c r="B10" s="39" t="s">
        <v>179</v>
      </c>
      <c r="C10" s="35">
        <v>53905</v>
      </c>
      <c r="D10" s="35">
        <v>6</v>
      </c>
      <c r="E10" s="39" t="s">
        <v>136</v>
      </c>
      <c r="F10" s="35">
        <v>364013</v>
      </c>
      <c r="G10" s="35">
        <v>6</v>
      </c>
      <c r="H10" s="39" t="s">
        <v>136</v>
      </c>
      <c r="I10" s="35">
        <v>6092936</v>
      </c>
    </row>
    <row r="11" spans="1:9" ht="13.5">
      <c r="A11" s="35">
        <v>7</v>
      </c>
      <c r="B11" s="39" t="s">
        <v>134</v>
      </c>
      <c r="C11" s="35">
        <v>51007</v>
      </c>
      <c r="D11" s="35">
        <v>7</v>
      </c>
      <c r="E11" s="39" t="s">
        <v>137</v>
      </c>
      <c r="F11" s="35">
        <v>339715</v>
      </c>
      <c r="G11" s="35">
        <v>7</v>
      </c>
      <c r="H11" s="39" t="s">
        <v>137</v>
      </c>
      <c r="I11" s="35">
        <v>5687153</v>
      </c>
    </row>
    <row r="12" spans="1:9" ht="13.5">
      <c r="A12" s="35">
        <v>8</v>
      </c>
      <c r="B12" s="39" t="s">
        <v>136</v>
      </c>
      <c r="C12" s="35">
        <v>49539</v>
      </c>
      <c r="D12" s="35">
        <v>8</v>
      </c>
      <c r="E12" s="39" t="s">
        <v>135</v>
      </c>
      <c r="F12" s="35">
        <v>339177</v>
      </c>
      <c r="G12" s="35">
        <v>8</v>
      </c>
      <c r="H12" s="39" t="s">
        <v>135</v>
      </c>
      <c r="I12" s="35">
        <v>5506284</v>
      </c>
    </row>
    <row r="13" spans="1:9" ht="13.5">
      <c r="A13" s="35">
        <v>9</v>
      </c>
      <c r="B13" s="39" t="s">
        <v>137</v>
      </c>
      <c r="C13" s="35">
        <v>44887</v>
      </c>
      <c r="D13" s="35">
        <v>9</v>
      </c>
      <c r="E13" s="39" t="s">
        <v>179</v>
      </c>
      <c r="F13" s="35">
        <v>325378</v>
      </c>
      <c r="G13" s="35">
        <v>9</v>
      </c>
      <c r="H13" s="39" t="s">
        <v>179</v>
      </c>
      <c r="I13" s="35">
        <v>5222772</v>
      </c>
    </row>
    <row r="14" spans="1:9" ht="13.5">
      <c r="A14" s="35">
        <v>10</v>
      </c>
      <c r="B14" s="39" t="s">
        <v>139</v>
      </c>
      <c r="C14" s="35">
        <v>41877</v>
      </c>
      <c r="D14" s="35">
        <v>10</v>
      </c>
      <c r="E14" s="39" t="s">
        <v>139</v>
      </c>
      <c r="F14" s="35">
        <v>238356</v>
      </c>
      <c r="G14" s="35">
        <v>10</v>
      </c>
      <c r="H14" s="39" t="s">
        <v>139</v>
      </c>
      <c r="I14" s="35">
        <v>4084491</v>
      </c>
    </row>
    <row r="15" spans="1:9" ht="13.5">
      <c r="A15" s="35">
        <v>11</v>
      </c>
      <c r="B15" s="39" t="s">
        <v>138</v>
      </c>
      <c r="C15" s="35">
        <v>30929</v>
      </c>
      <c r="D15" s="35">
        <v>11</v>
      </c>
      <c r="E15" s="39" t="s">
        <v>138</v>
      </c>
      <c r="F15" s="35">
        <v>190540</v>
      </c>
      <c r="G15" s="35">
        <v>11</v>
      </c>
      <c r="H15" s="39" t="s">
        <v>138</v>
      </c>
      <c r="I15" s="35">
        <v>3133794</v>
      </c>
    </row>
    <row r="16" spans="1:9" ht="13.5">
      <c r="A16" s="35">
        <v>12</v>
      </c>
      <c r="B16" s="39" t="s">
        <v>142</v>
      </c>
      <c r="C16" s="35">
        <v>30236</v>
      </c>
      <c r="D16" s="35">
        <v>12</v>
      </c>
      <c r="E16" s="39" t="s">
        <v>143</v>
      </c>
      <c r="F16" s="35">
        <v>181361</v>
      </c>
      <c r="G16" s="35">
        <v>12</v>
      </c>
      <c r="H16" s="39" t="s">
        <v>140</v>
      </c>
      <c r="I16" s="35">
        <v>3008023</v>
      </c>
    </row>
    <row r="17" spans="1:9" ht="13.5">
      <c r="A17" s="35">
        <v>13</v>
      </c>
      <c r="B17" s="39" t="s">
        <v>140</v>
      </c>
      <c r="C17" s="35">
        <v>29939</v>
      </c>
      <c r="D17" s="35">
        <v>13</v>
      </c>
      <c r="E17" s="39" t="s">
        <v>140</v>
      </c>
      <c r="F17" s="35">
        <v>180730</v>
      </c>
      <c r="G17" s="35">
        <v>13</v>
      </c>
      <c r="H17" s="39" t="s">
        <v>143</v>
      </c>
      <c r="I17" s="35">
        <v>2982446</v>
      </c>
    </row>
    <row r="18" spans="1:9" ht="13.5">
      <c r="A18" s="35">
        <v>14</v>
      </c>
      <c r="B18" s="39" t="s">
        <v>143</v>
      </c>
      <c r="C18" s="35">
        <v>29110</v>
      </c>
      <c r="D18" s="35">
        <v>14</v>
      </c>
      <c r="E18" s="39" t="s">
        <v>142</v>
      </c>
      <c r="F18" s="35">
        <v>158263</v>
      </c>
      <c r="G18" s="35">
        <v>14</v>
      </c>
      <c r="H18" s="39" t="s">
        <v>142</v>
      </c>
      <c r="I18" s="35">
        <v>2575816</v>
      </c>
    </row>
    <row r="19" spans="1:9" ht="13.5">
      <c r="A19" s="35">
        <v>15</v>
      </c>
      <c r="B19" s="39" t="s">
        <v>145</v>
      </c>
      <c r="C19" s="35">
        <v>24548</v>
      </c>
      <c r="D19" s="35">
        <v>15</v>
      </c>
      <c r="E19" s="39" t="s">
        <v>141</v>
      </c>
      <c r="F19" s="35">
        <v>154655</v>
      </c>
      <c r="G19" s="35">
        <v>15</v>
      </c>
      <c r="H19" s="39" t="s">
        <v>141</v>
      </c>
      <c r="I19" s="35">
        <v>2526680</v>
      </c>
    </row>
    <row r="20" spans="1:9" ht="13.5">
      <c r="A20" s="35">
        <v>16</v>
      </c>
      <c r="B20" s="39" t="s">
        <v>147</v>
      </c>
      <c r="C20" s="35">
        <v>24410</v>
      </c>
      <c r="D20" s="35">
        <v>16</v>
      </c>
      <c r="E20" s="39" t="s">
        <v>145</v>
      </c>
      <c r="F20" s="35">
        <v>142217</v>
      </c>
      <c r="G20" s="35">
        <v>16</v>
      </c>
      <c r="H20" s="39" t="s">
        <v>145</v>
      </c>
      <c r="I20" s="35">
        <v>2484596</v>
      </c>
    </row>
    <row r="21" spans="1:9" ht="13.5">
      <c r="A21" s="35">
        <v>17</v>
      </c>
      <c r="B21" s="39" t="s">
        <v>141</v>
      </c>
      <c r="C21" s="35">
        <v>24375</v>
      </c>
      <c r="D21" s="35">
        <v>17</v>
      </c>
      <c r="E21" s="39" t="s">
        <v>147</v>
      </c>
      <c r="F21" s="35">
        <v>134976</v>
      </c>
      <c r="G21" s="35">
        <v>17</v>
      </c>
      <c r="H21" s="39" t="s">
        <v>144</v>
      </c>
      <c r="I21" s="35">
        <v>2186860</v>
      </c>
    </row>
    <row r="22" spans="1:9" ht="13.5">
      <c r="A22" s="35">
        <v>18</v>
      </c>
      <c r="B22" s="39" t="s">
        <v>144</v>
      </c>
      <c r="C22" s="35">
        <v>23866</v>
      </c>
      <c r="D22" s="35">
        <v>18</v>
      </c>
      <c r="E22" s="39" t="s">
        <v>144</v>
      </c>
      <c r="F22" s="35">
        <v>134118</v>
      </c>
      <c r="G22" s="35">
        <v>18</v>
      </c>
      <c r="H22" s="39" t="s">
        <v>148</v>
      </c>
      <c r="I22" s="35">
        <v>2179278</v>
      </c>
    </row>
    <row r="23" spans="1:9" ht="13.5">
      <c r="A23" s="35">
        <v>19</v>
      </c>
      <c r="B23" s="39" t="s">
        <v>150</v>
      </c>
      <c r="C23" s="35">
        <v>22336</v>
      </c>
      <c r="D23" s="35">
        <v>19</v>
      </c>
      <c r="E23" s="39" t="s">
        <v>148</v>
      </c>
      <c r="F23" s="35">
        <v>131770</v>
      </c>
      <c r="G23" s="35">
        <v>19</v>
      </c>
      <c r="H23" s="39" t="s">
        <v>147</v>
      </c>
      <c r="I23" s="35">
        <v>2145418</v>
      </c>
    </row>
    <row r="24" spans="1:9" ht="13.5">
      <c r="A24" s="35">
        <v>20</v>
      </c>
      <c r="B24" s="39" t="s">
        <v>148</v>
      </c>
      <c r="C24" s="35">
        <v>22206</v>
      </c>
      <c r="D24" s="35">
        <v>20</v>
      </c>
      <c r="E24" s="39" t="s">
        <v>146</v>
      </c>
      <c r="F24" s="35">
        <v>123915</v>
      </c>
      <c r="G24" s="35">
        <v>20</v>
      </c>
      <c r="H24" s="39" t="s">
        <v>146</v>
      </c>
      <c r="I24" s="35">
        <v>2084808</v>
      </c>
    </row>
    <row r="25" spans="1:9" ht="13.5">
      <c r="A25" s="35">
        <v>21</v>
      </c>
      <c r="B25" s="39" t="s">
        <v>146</v>
      </c>
      <c r="C25" s="35">
        <v>21330</v>
      </c>
      <c r="D25" s="35">
        <v>21</v>
      </c>
      <c r="E25" s="39" t="s">
        <v>149</v>
      </c>
      <c r="F25" s="35">
        <v>121939</v>
      </c>
      <c r="G25" s="35">
        <v>21</v>
      </c>
      <c r="H25" s="39" t="s">
        <v>149</v>
      </c>
      <c r="I25" s="35">
        <v>1959994</v>
      </c>
    </row>
    <row r="26" spans="1:9" ht="13.5">
      <c r="A26" s="35">
        <v>22</v>
      </c>
      <c r="B26" s="39" t="s">
        <v>151</v>
      </c>
      <c r="C26" s="35">
        <v>21167</v>
      </c>
      <c r="D26" s="35">
        <v>22</v>
      </c>
      <c r="E26" s="39" t="s">
        <v>151</v>
      </c>
      <c r="F26" s="35">
        <v>120822</v>
      </c>
      <c r="G26" s="35">
        <v>22</v>
      </c>
      <c r="H26" s="39" t="s">
        <v>152</v>
      </c>
      <c r="I26" s="35">
        <v>1794343</v>
      </c>
    </row>
    <row r="27" spans="1:9" ht="13.5">
      <c r="A27" s="35">
        <v>23</v>
      </c>
      <c r="B27" s="39" t="s">
        <v>149</v>
      </c>
      <c r="C27" s="35">
        <v>21099</v>
      </c>
      <c r="D27" s="35">
        <v>23</v>
      </c>
      <c r="E27" s="39" t="s">
        <v>152</v>
      </c>
      <c r="F27" s="35">
        <v>116512</v>
      </c>
      <c r="G27" s="35">
        <v>23</v>
      </c>
      <c r="H27" s="39" t="s">
        <v>151</v>
      </c>
      <c r="I27" s="35">
        <v>1768296</v>
      </c>
    </row>
    <row r="28" spans="1:9" ht="13.5">
      <c r="A28" s="35">
        <v>24</v>
      </c>
      <c r="B28" s="39" t="s">
        <v>152</v>
      </c>
      <c r="C28" s="35">
        <v>20297</v>
      </c>
      <c r="D28" s="35">
        <v>24</v>
      </c>
      <c r="E28" s="39" t="s">
        <v>150</v>
      </c>
      <c r="F28" s="35">
        <v>110667</v>
      </c>
      <c r="G28" s="35">
        <v>24</v>
      </c>
      <c r="H28" s="39" t="s">
        <v>150</v>
      </c>
      <c r="I28" s="35">
        <v>1700146</v>
      </c>
    </row>
    <row r="29" spans="1:9" ht="13.5">
      <c r="A29" s="35">
        <v>25</v>
      </c>
      <c r="B29" s="39" t="s">
        <v>155</v>
      </c>
      <c r="C29" s="35">
        <v>19505</v>
      </c>
      <c r="D29" s="35">
        <v>25</v>
      </c>
      <c r="E29" s="39" t="s">
        <v>156</v>
      </c>
      <c r="F29" s="35">
        <v>102662</v>
      </c>
      <c r="G29" s="35">
        <v>25</v>
      </c>
      <c r="H29" s="39" t="s">
        <v>156</v>
      </c>
      <c r="I29" s="35">
        <v>1561699</v>
      </c>
    </row>
    <row r="30" spans="1:9" ht="13.5">
      <c r="A30" s="35">
        <v>26</v>
      </c>
      <c r="B30" s="39" t="s">
        <v>156</v>
      </c>
      <c r="C30" s="35">
        <v>19100</v>
      </c>
      <c r="D30" s="35">
        <v>26</v>
      </c>
      <c r="E30" s="39" t="s">
        <v>155</v>
      </c>
      <c r="F30" s="35">
        <v>99619</v>
      </c>
      <c r="G30" s="35">
        <v>26</v>
      </c>
      <c r="H30" s="39" t="s">
        <v>158</v>
      </c>
      <c r="I30" s="35">
        <v>1536008</v>
      </c>
    </row>
    <row r="31" spans="1:9" ht="13.5">
      <c r="A31" s="35">
        <v>27</v>
      </c>
      <c r="B31" s="39" t="s">
        <v>157</v>
      </c>
      <c r="C31" s="35">
        <v>18872</v>
      </c>
      <c r="D31" s="35">
        <v>27</v>
      </c>
      <c r="E31" s="39" t="s">
        <v>157</v>
      </c>
      <c r="F31" s="35">
        <v>95960</v>
      </c>
      <c r="G31" s="35">
        <v>27</v>
      </c>
      <c r="H31" s="39" t="s">
        <v>157</v>
      </c>
      <c r="I31" s="35">
        <v>1501014</v>
      </c>
    </row>
    <row r="32" spans="1:9" ht="13.5">
      <c r="A32" s="35">
        <v>28</v>
      </c>
      <c r="B32" s="39" t="s">
        <v>158</v>
      </c>
      <c r="C32" s="35">
        <v>17293</v>
      </c>
      <c r="D32" s="35">
        <v>28</v>
      </c>
      <c r="E32" s="39" t="s">
        <v>158</v>
      </c>
      <c r="F32" s="35">
        <v>95861</v>
      </c>
      <c r="G32" s="35">
        <v>28</v>
      </c>
      <c r="H32" s="39" t="s">
        <v>155</v>
      </c>
      <c r="I32" s="35">
        <v>1491382</v>
      </c>
    </row>
    <row r="33" spans="1:9" ht="13.5">
      <c r="A33" s="35">
        <v>29</v>
      </c>
      <c r="B33" s="39" t="s">
        <v>180</v>
      </c>
      <c r="C33" s="35">
        <v>16834</v>
      </c>
      <c r="D33" s="35">
        <v>29</v>
      </c>
      <c r="E33" s="39" t="s">
        <v>159</v>
      </c>
      <c r="F33" s="35">
        <v>88294</v>
      </c>
      <c r="G33" s="35">
        <v>29</v>
      </c>
      <c r="H33" s="39" t="s">
        <v>159</v>
      </c>
      <c r="I33" s="35">
        <v>1395991</v>
      </c>
    </row>
    <row r="34" spans="1:9" ht="13.5">
      <c r="A34" s="35">
        <v>30</v>
      </c>
      <c r="B34" s="39" t="s">
        <v>159</v>
      </c>
      <c r="C34" s="35">
        <v>16797</v>
      </c>
      <c r="D34" s="35">
        <v>30</v>
      </c>
      <c r="E34" s="39" t="s">
        <v>164</v>
      </c>
      <c r="F34" s="35">
        <v>87839</v>
      </c>
      <c r="G34" s="35">
        <v>30</v>
      </c>
      <c r="H34" s="39" t="s">
        <v>164</v>
      </c>
      <c r="I34" s="35">
        <v>1317681</v>
      </c>
    </row>
    <row r="35" spans="1:9" ht="13.5">
      <c r="A35" s="35">
        <v>31</v>
      </c>
      <c r="B35" s="39" t="s">
        <v>161</v>
      </c>
      <c r="C35" s="35">
        <v>15644</v>
      </c>
      <c r="D35" s="35">
        <v>31</v>
      </c>
      <c r="E35" s="39" t="s">
        <v>162</v>
      </c>
      <c r="F35" s="35">
        <v>82612</v>
      </c>
      <c r="G35" s="35">
        <v>31</v>
      </c>
      <c r="H35" s="39" t="s">
        <v>154</v>
      </c>
      <c r="I35" s="35">
        <v>1309711</v>
      </c>
    </row>
    <row r="36" spans="1:9" ht="13.5">
      <c r="A36" s="35">
        <v>32</v>
      </c>
      <c r="B36" s="39" t="s">
        <v>163</v>
      </c>
      <c r="C36" s="35">
        <v>15455</v>
      </c>
      <c r="D36" s="35">
        <v>32</v>
      </c>
      <c r="E36" s="39" t="s">
        <v>168</v>
      </c>
      <c r="F36" s="35">
        <v>81513</v>
      </c>
      <c r="G36" s="35">
        <v>32</v>
      </c>
      <c r="H36" s="39" t="s">
        <v>161</v>
      </c>
      <c r="I36" s="35">
        <v>1299887</v>
      </c>
    </row>
    <row r="37" spans="1:9" ht="13.5">
      <c r="A37" s="35">
        <v>33</v>
      </c>
      <c r="B37" s="39" t="s">
        <v>162</v>
      </c>
      <c r="C37" s="35">
        <v>15434</v>
      </c>
      <c r="D37" s="35">
        <v>33</v>
      </c>
      <c r="E37" s="39" t="s">
        <v>161</v>
      </c>
      <c r="F37" s="35">
        <v>79908</v>
      </c>
      <c r="G37" s="35">
        <v>33</v>
      </c>
      <c r="H37" s="39" t="s">
        <v>163</v>
      </c>
      <c r="I37" s="35">
        <v>1244825</v>
      </c>
    </row>
    <row r="38" spans="1:9" ht="13.5">
      <c r="A38" s="35">
        <v>34</v>
      </c>
      <c r="B38" s="39" t="s">
        <v>165</v>
      </c>
      <c r="C38" s="35">
        <v>14992</v>
      </c>
      <c r="D38" s="35">
        <v>34</v>
      </c>
      <c r="E38" s="39" t="s">
        <v>180</v>
      </c>
      <c r="F38" s="35">
        <v>78784</v>
      </c>
      <c r="G38" s="35">
        <v>34</v>
      </c>
      <c r="H38" s="39" t="s">
        <v>162</v>
      </c>
      <c r="I38" s="35">
        <v>1230460</v>
      </c>
    </row>
    <row r="39" spans="1:9" ht="13.5">
      <c r="A39" s="35">
        <v>35</v>
      </c>
      <c r="B39" s="39" t="s">
        <v>167</v>
      </c>
      <c r="C39" s="35">
        <v>14398</v>
      </c>
      <c r="D39" s="35">
        <v>35</v>
      </c>
      <c r="E39" s="39" t="s">
        <v>154</v>
      </c>
      <c r="F39" s="35">
        <v>78312</v>
      </c>
      <c r="G39" s="35">
        <v>35</v>
      </c>
      <c r="H39" s="39" t="s">
        <v>168</v>
      </c>
      <c r="I39" s="35">
        <v>1214778</v>
      </c>
    </row>
    <row r="40" spans="1:9" ht="13.5">
      <c r="A40" s="35">
        <v>36</v>
      </c>
      <c r="B40" s="39" t="s">
        <v>154</v>
      </c>
      <c r="C40" s="35">
        <v>14139</v>
      </c>
      <c r="D40" s="35">
        <v>36</v>
      </c>
      <c r="E40" s="39" t="s">
        <v>163</v>
      </c>
      <c r="F40" s="35">
        <v>76898</v>
      </c>
      <c r="G40" s="35">
        <v>36</v>
      </c>
      <c r="H40" s="39" t="s">
        <v>153</v>
      </c>
      <c r="I40" s="35">
        <v>1213446</v>
      </c>
    </row>
    <row r="41" spans="1:9" ht="13.5">
      <c r="A41" s="35">
        <v>37</v>
      </c>
      <c r="B41" s="39" t="s">
        <v>166</v>
      </c>
      <c r="C41" s="35">
        <v>14068</v>
      </c>
      <c r="D41" s="35">
        <v>37</v>
      </c>
      <c r="E41" s="39" t="s">
        <v>166</v>
      </c>
      <c r="F41" s="35">
        <v>75719</v>
      </c>
      <c r="G41" s="35">
        <v>37</v>
      </c>
      <c r="H41" s="39" t="s">
        <v>165</v>
      </c>
      <c r="I41" s="35">
        <v>1181591</v>
      </c>
    </row>
    <row r="42" spans="1:9" ht="13.5">
      <c r="A42" s="35">
        <v>38</v>
      </c>
      <c r="B42" s="39" t="s">
        <v>164</v>
      </c>
      <c r="C42" s="35">
        <v>13294</v>
      </c>
      <c r="D42" s="35">
        <v>38</v>
      </c>
      <c r="E42" s="39" t="s">
        <v>165</v>
      </c>
      <c r="F42" s="35">
        <v>75072</v>
      </c>
      <c r="G42" s="35">
        <v>38</v>
      </c>
      <c r="H42" s="39" t="s">
        <v>166</v>
      </c>
      <c r="I42" s="35">
        <v>1107800</v>
      </c>
    </row>
    <row r="43" spans="1:9" ht="13.5">
      <c r="A43" s="35">
        <v>39</v>
      </c>
      <c r="B43" s="39" t="s">
        <v>168</v>
      </c>
      <c r="C43" s="35">
        <v>12933</v>
      </c>
      <c r="D43" s="35">
        <v>39</v>
      </c>
      <c r="E43" s="39" t="s">
        <v>167</v>
      </c>
      <c r="F43" s="35">
        <v>69026</v>
      </c>
      <c r="G43" s="35">
        <v>39</v>
      </c>
      <c r="H43" s="39" t="s">
        <v>180</v>
      </c>
      <c r="I43" s="35">
        <v>1028227</v>
      </c>
    </row>
    <row r="44" spans="1:9" ht="13.5">
      <c r="A44" s="35">
        <v>40</v>
      </c>
      <c r="B44" s="39" t="s">
        <v>153</v>
      </c>
      <c r="C44" s="35">
        <v>12502</v>
      </c>
      <c r="D44" s="35">
        <v>40</v>
      </c>
      <c r="E44" s="39" t="s">
        <v>153</v>
      </c>
      <c r="F44" s="35">
        <v>68300</v>
      </c>
      <c r="G44" s="35">
        <v>40</v>
      </c>
      <c r="H44" s="39" t="s">
        <v>167</v>
      </c>
      <c r="I44" s="35">
        <v>967265</v>
      </c>
    </row>
    <row r="45" spans="1:9" ht="13.5">
      <c r="A45" s="35">
        <v>41</v>
      </c>
      <c r="B45" s="39" t="s">
        <v>173</v>
      </c>
      <c r="C45" s="35">
        <v>11237</v>
      </c>
      <c r="D45" s="35">
        <v>41</v>
      </c>
      <c r="E45" s="39" t="s">
        <v>172</v>
      </c>
      <c r="F45" s="35">
        <v>57113</v>
      </c>
      <c r="G45" s="35">
        <v>41</v>
      </c>
      <c r="H45" s="39" t="s">
        <v>172</v>
      </c>
      <c r="I45" s="35">
        <v>942336</v>
      </c>
    </row>
    <row r="46" spans="1:9" ht="13.5">
      <c r="A46" s="35">
        <v>42</v>
      </c>
      <c r="B46" s="39" t="s">
        <v>170</v>
      </c>
      <c r="C46" s="35">
        <v>11207</v>
      </c>
      <c r="D46" s="35">
        <v>42</v>
      </c>
      <c r="E46" s="39" t="s">
        <v>171</v>
      </c>
      <c r="F46" s="35">
        <v>56891</v>
      </c>
      <c r="G46" s="35">
        <v>42</v>
      </c>
      <c r="H46" s="39" t="s">
        <v>169</v>
      </c>
      <c r="I46" s="35">
        <v>905181</v>
      </c>
    </row>
    <row r="47" spans="1:9" ht="13.5">
      <c r="A47" s="35">
        <v>43</v>
      </c>
      <c r="B47" s="39" t="s">
        <v>171</v>
      </c>
      <c r="C47" s="35">
        <v>10996</v>
      </c>
      <c r="D47" s="35">
        <v>43</v>
      </c>
      <c r="E47" s="39" t="s">
        <v>169</v>
      </c>
      <c r="F47" s="35">
        <v>56335</v>
      </c>
      <c r="G47" s="35">
        <v>43</v>
      </c>
      <c r="H47" s="39" t="s">
        <v>171</v>
      </c>
      <c r="I47" s="35">
        <v>846774</v>
      </c>
    </row>
    <row r="48" spans="1:9" ht="13.5">
      <c r="A48" s="35">
        <v>44</v>
      </c>
      <c r="B48" s="39" t="s">
        <v>169</v>
      </c>
      <c r="C48" s="35">
        <v>10820</v>
      </c>
      <c r="D48" s="35">
        <v>44</v>
      </c>
      <c r="E48" s="39" t="s">
        <v>173</v>
      </c>
      <c r="F48" s="35">
        <v>54238</v>
      </c>
      <c r="G48" s="35">
        <v>44</v>
      </c>
      <c r="H48" s="39" t="s">
        <v>174</v>
      </c>
      <c r="I48" s="35">
        <v>811368</v>
      </c>
    </row>
    <row r="49" spans="1:9" ht="13.5">
      <c r="A49" s="35">
        <v>45</v>
      </c>
      <c r="B49" s="39" t="s">
        <v>172</v>
      </c>
      <c r="C49" s="35">
        <v>10743</v>
      </c>
      <c r="D49" s="35">
        <v>45</v>
      </c>
      <c r="E49" s="39" t="s">
        <v>170</v>
      </c>
      <c r="F49" s="35">
        <v>52807</v>
      </c>
      <c r="G49" s="35">
        <v>45</v>
      </c>
      <c r="H49" s="39" t="s">
        <v>173</v>
      </c>
      <c r="I49" s="35">
        <v>809872</v>
      </c>
    </row>
    <row r="50" spans="1:9" ht="13.5">
      <c r="A50" s="35">
        <v>46</v>
      </c>
      <c r="B50" s="39" t="s">
        <v>174</v>
      </c>
      <c r="C50" s="35">
        <v>10693</v>
      </c>
      <c r="D50" s="35">
        <v>46</v>
      </c>
      <c r="E50" s="39" t="s">
        <v>174</v>
      </c>
      <c r="F50" s="35">
        <v>50546</v>
      </c>
      <c r="G50" s="35">
        <v>46</v>
      </c>
      <c r="H50" s="39" t="s">
        <v>170</v>
      </c>
      <c r="I50" s="35">
        <v>791846</v>
      </c>
    </row>
    <row r="51" spans="1:9" ht="13.5">
      <c r="A51" s="35">
        <v>47</v>
      </c>
      <c r="B51" s="39" t="s">
        <v>175</v>
      </c>
      <c r="C51" s="35">
        <v>7244</v>
      </c>
      <c r="D51" s="35">
        <v>47</v>
      </c>
      <c r="E51" s="39" t="s">
        <v>175</v>
      </c>
      <c r="F51" s="35">
        <v>39819</v>
      </c>
      <c r="G51" s="35">
        <v>47</v>
      </c>
      <c r="H51" s="39" t="s">
        <v>175</v>
      </c>
      <c r="I51" s="35">
        <v>680272</v>
      </c>
    </row>
  </sheetData>
  <printOptions/>
  <pageMargins left="0.83" right="0.75" top="1" bottom="1" header="0.512" footer="0.512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75390625" style="0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10" ht="14.25" thickBot="1">
      <c r="A2" s="3"/>
      <c r="B2" s="3"/>
      <c r="C2" s="3"/>
      <c r="D2" s="3"/>
      <c r="E2" s="2"/>
      <c r="F2" s="2"/>
      <c r="G2" s="2" t="s">
        <v>1</v>
      </c>
      <c r="H2" s="2"/>
      <c r="I2" s="2"/>
      <c r="J2" s="2"/>
    </row>
    <row r="3" spans="1:10" ht="13.5">
      <c r="A3" s="41"/>
      <c r="B3" s="4" t="s">
        <v>2</v>
      </c>
      <c r="C3" s="4"/>
      <c r="D3" s="4"/>
      <c r="E3" s="4" t="s">
        <v>3</v>
      </c>
      <c r="F3" s="4"/>
      <c r="G3" s="4"/>
      <c r="H3" s="4" t="s">
        <v>4</v>
      </c>
      <c r="I3" s="4"/>
      <c r="J3" s="5"/>
    </row>
    <row r="4" spans="1:10" ht="13.5">
      <c r="A4" s="42"/>
      <c r="B4" s="6" t="s">
        <v>5</v>
      </c>
      <c r="C4" s="6" t="s">
        <v>6</v>
      </c>
      <c r="D4" s="6" t="s">
        <v>7</v>
      </c>
      <c r="E4" s="6" t="s">
        <v>5</v>
      </c>
      <c r="F4" s="6" t="s">
        <v>6</v>
      </c>
      <c r="G4" s="6" t="s">
        <v>7</v>
      </c>
      <c r="H4" s="6" t="s">
        <v>5</v>
      </c>
      <c r="I4" s="6" t="s">
        <v>6</v>
      </c>
      <c r="J4" s="7" t="s">
        <v>7</v>
      </c>
    </row>
    <row r="5" spans="1:10" ht="13.5">
      <c r="A5" s="8" t="s">
        <v>8</v>
      </c>
      <c r="B5" s="9">
        <f>SUM(B7,B18)</f>
        <v>13430</v>
      </c>
      <c r="C5" s="9">
        <f>C7+C18</f>
        <v>15278</v>
      </c>
      <c r="D5" s="10">
        <f>(B5-M5-C5)/C5*100</f>
        <v>-12.095824060740936</v>
      </c>
      <c r="E5" s="9">
        <f>SUM(E7,E18)</f>
        <v>72645</v>
      </c>
      <c r="F5" s="9">
        <f>F7+F18</f>
        <v>79592</v>
      </c>
      <c r="G5" s="10">
        <f>(E5-N5-F5)/F5*100</f>
        <v>-8.728264147150467</v>
      </c>
      <c r="H5" s="9">
        <v>1705016</v>
      </c>
      <c r="I5" s="9">
        <v>1950568</v>
      </c>
      <c r="J5" s="11">
        <f>(H5-O5-I5)/I5*100</f>
        <v>-12.588743381415055</v>
      </c>
    </row>
    <row r="6" spans="1:10" ht="13.5">
      <c r="A6" s="8"/>
      <c r="B6" s="9"/>
      <c r="C6" s="9"/>
      <c r="D6" s="10"/>
      <c r="E6" s="9"/>
      <c r="F6" s="9"/>
      <c r="G6" s="10"/>
      <c r="H6" s="9"/>
      <c r="I6" s="9"/>
      <c r="J6" s="11"/>
    </row>
    <row r="7" spans="1:10" ht="13.5">
      <c r="A7" s="8" t="s">
        <v>9</v>
      </c>
      <c r="B7" s="9">
        <f>SUM(B8:B16)</f>
        <v>9574</v>
      </c>
      <c r="C7" s="9">
        <f>SUM(C8:C16)</f>
        <v>11010</v>
      </c>
      <c r="D7" s="10">
        <f aca="true" t="shared" si="0" ref="D7:D16">(B7-M7-C7)/C7*100</f>
        <v>-13.042688465031791</v>
      </c>
      <c r="E7" s="9">
        <f>SUM(E8:E16)</f>
        <v>57704</v>
      </c>
      <c r="F7" s="9">
        <f>SUM(F8:F16)</f>
        <v>64158</v>
      </c>
      <c r="G7" s="10">
        <f aca="true" t="shared" si="1" ref="G7:G16">(E7-N7-F7)/F7*100</f>
        <v>-10.059540509367498</v>
      </c>
      <c r="H7" s="9">
        <v>1495385</v>
      </c>
      <c r="I7" s="9">
        <f>SUM(I8:I16)</f>
        <v>1701257</v>
      </c>
      <c r="J7" s="11">
        <f aca="true" t="shared" si="2" ref="J7:J16">(H7-O7-I7)/I7*100</f>
        <v>-12.101169899668305</v>
      </c>
    </row>
    <row r="8" spans="1:10" ht="13.5">
      <c r="A8" s="12" t="s">
        <v>10</v>
      </c>
      <c r="B8" s="13">
        <v>5415</v>
      </c>
      <c r="C8" s="13">
        <v>6332</v>
      </c>
      <c r="D8" s="10">
        <f t="shared" si="0"/>
        <v>-14.481996209728365</v>
      </c>
      <c r="E8" s="14">
        <v>38245</v>
      </c>
      <c r="F8" s="14">
        <v>43612</v>
      </c>
      <c r="G8" s="10">
        <f t="shared" si="1"/>
        <v>-12.306245987342933</v>
      </c>
      <c r="H8" s="14">
        <v>1080235</v>
      </c>
      <c r="I8" s="14">
        <v>1293714</v>
      </c>
      <c r="J8" s="11">
        <f t="shared" si="2"/>
        <v>-16.501251435788745</v>
      </c>
    </row>
    <row r="9" spans="1:10" ht="13.5">
      <c r="A9" s="12" t="s">
        <v>11</v>
      </c>
      <c r="B9" s="13">
        <v>415</v>
      </c>
      <c r="C9" s="13">
        <v>450</v>
      </c>
      <c r="D9" s="10">
        <f t="shared" si="0"/>
        <v>-7.777777777777778</v>
      </c>
      <c r="E9" s="14">
        <v>1430</v>
      </c>
      <c r="F9" s="14">
        <v>1522</v>
      </c>
      <c r="G9" s="10">
        <f t="shared" si="1"/>
        <v>-6.044678055190539</v>
      </c>
      <c r="H9" s="14">
        <v>21849</v>
      </c>
      <c r="I9" s="14">
        <v>24488</v>
      </c>
      <c r="J9" s="11">
        <f t="shared" si="2"/>
        <v>-10.77670695851029</v>
      </c>
    </row>
    <row r="10" spans="1:10" ht="13.5">
      <c r="A10" s="12" t="s">
        <v>12</v>
      </c>
      <c r="B10" s="13">
        <v>388</v>
      </c>
      <c r="C10" s="13">
        <v>455</v>
      </c>
      <c r="D10" s="10">
        <f t="shared" si="0"/>
        <v>-14.725274725274726</v>
      </c>
      <c r="E10" s="14">
        <v>1848</v>
      </c>
      <c r="F10" s="14">
        <v>2022</v>
      </c>
      <c r="G10" s="10">
        <f t="shared" si="1"/>
        <v>-8.605341246290802</v>
      </c>
      <c r="H10" s="14">
        <v>35308</v>
      </c>
      <c r="I10" s="14">
        <v>38483</v>
      </c>
      <c r="J10" s="11">
        <f t="shared" si="2"/>
        <v>-8.250396278876387</v>
      </c>
    </row>
    <row r="11" spans="1:10" ht="13.5">
      <c r="A11" s="12" t="s">
        <v>13</v>
      </c>
      <c r="B11" s="13">
        <v>641</v>
      </c>
      <c r="C11" s="13">
        <v>742</v>
      </c>
      <c r="D11" s="10">
        <f t="shared" si="0"/>
        <v>-13.611859838274935</v>
      </c>
      <c r="E11" s="14">
        <v>3982</v>
      </c>
      <c r="F11" s="14">
        <v>4230</v>
      </c>
      <c r="G11" s="10">
        <f t="shared" si="1"/>
        <v>-5.862884160756502</v>
      </c>
      <c r="H11" s="14">
        <v>121304</v>
      </c>
      <c r="I11" s="14">
        <v>97291</v>
      </c>
      <c r="J11" s="11">
        <f t="shared" si="2"/>
        <v>24.681625227410553</v>
      </c>
    </row>
    <row r="12" spans="1:10" ht="13.5">
      <c r="A12" s="12" t="s">
        <v>14</v>
      </c>
      <c r="B12" s="13">
        <v>500</v>
      </c>
      <c r="C12" s="13">
        <v>560</v>
      </c>
      <c r="D12" s="10">
        <f t="shared" si="0"/>
        <v>-10.714285714285714</v>
      </c>
      <c r="E12" s="14">
        <v>2465</v>
      </c>
      <c r="F12" s="14">
        <v>2454</v>
      </c>
      <c r="G12" s="10">
        <f t="shared" si="1"/>
        <v>0.44824775876120615</v>
      </c>
      <c r="H12" s="14">
        <v>37038</v>
      </c>
      <c r="I12" s="14">
        <v>39029</v>
      </c>
      <c r="J12" s="11">
        <f t="shared" si="2"/>
        <v>-5.101334904814369</v>
      </c>
    </row>
    <row r="13" spans="1:10" ht="13.5">
      <c r="A13" s="12" t="s">
        <v>15</v>
      </c>
      <c r="B13" s="13">
        <v>542</v>
      </c>
      <c r="C13" s="13">
        <v>621</v>
      </c>
      <c r="D13" s="10">
        <f t="shared" si="0"/>
        <v>-12.721417069243158</v>
      </c>
      <c r="E13" s="14">
        <v>2356</v>
      </c>
      <c r="F13" s="14">
        <v>2703</v>
      </c>
      <c r="G13" s="10">
        <f t="shared" si="1"/>
        <v>-12.837587865334813</v>
      </c>
      <c r="H13" s="14">
        <v>47323</v>
      </c>
      <c r="I13" s="14">
        <v>50310</v>
      </c>
      <c r="J13" s="11">
        <f t="shared" si="2"/>
        <v>-5.9371894255615185</v>
      </c>
    </row>
    <row r="14" spans="1:10" ht="13.5">
      <c r="A14" s="12" t="s">
        <v>16</v>
      </c>
      <c r="B14" s="13">
        <v>782</v>
      </c>
      <c r="C14" s="13">
        <v>837</v>
      </c>
      <c r="D14" s="10">
        <f t="shared" si="0"/>
        <v>-6.5710872162485074</v>
      </c>
      <c r="E14" s="14">
        <v>4013</v>
      </c>
      <c r="F14" s="14">
        <v>3898</v>
      </c>
      <c r="G14" s="10">
        <f t="shared" si="1"/>
        <v>2.9502308876346843</v>
      </c>
      <c r="H14" s="14">
        <v>85421</v>
      </c>
      <c r="I14" s="14">
        <v>89761</v>
      </c>
      <c r="J14" s="11">
        <f t="shared" si="2"/>
        <v>-4.835061997972393</v>
      </c>
    </row>
    <row r="15" spans="1:10" ht="13.5">
      <c r="A15" s="12" t="s">
        <v>17</v>
      </c>
      <c r="B15" s="13">
        <v>504</v>
      </c>
      <c r="C15" s="13">
        <v>563</v>
      </c>
      <c r="D15" s="10">
        <f t="shared" si="0"/>
        <v>-10.479573712255773</v>
      </c>
      <c r="E15" s="14">
        <v>2140</v>
      </c>
      <c r="F15" s="14">
        <v>2367</v>
      </c>
      <c r="G15" s="10">
        <f t="shared" si="1"/>
        <v>-9.590198563582595</v>
      </c>
      <c r="H15" s="14">
        <v>50964</v>
      </c>
      <c r="I15" s="14">
        <v>45314</v>
      </c>
      <c r="J15" s="11">
        <f t="shared" si="2"/>
        <v>12.468552765149843</v>
      </c>
    </row>
    <row r="16" spans="1:10" ht="13.5">
      <c r="A16" s="12" t="s">
        <v>18</v>
      </c>
      <c r="B16" s="13">
        <v>387</v>
      </c>
      <c r="C16" s="13">
        <v>450</v>
      </c>
      <c r="D16" s="10">
        <f t="shared" si="0"/>
        <v>-14.000000000000002</v>
      </c>
      <c r="E16" s="14">
        <v>1225</v>
      </c>
      <c r="F16" s="14">
        <v>1350</v>
      </c>
      <c r="G16" s="10">
        <f t="shared" si="1"/>
        <v>-9.25925925925926</v>
      </c>
      <c r="H16" s="14">
        <v>15943</v>
      </c>
      <c r="I16" s="14">
        <v>22867</v>
      </c>
      <c r="J16" s="11">
        <f t="shared" si="2"/>
        <v>-30.279441990641537</v>
      </c>
    </row>
    <row r="17" spans="1:10" ht="13.5">
      <c r="A17" s="12"/>
      <c r="B17" s="13"/>
      <c r="C17" s="13"/>
      <c r="D17" s="10"/>
      <c r="E17" s="14"/>
      <c r="F17" s="14"/>
      <c r="G17" s="10"/>
      <c r="H17" s="14"/>
      <c r="I17" s="14"/>
      <c r="J17" s="11"/>
    </row>
    <row r="18" spans="1:10" ht="13.5">
      <c r="A18" s="8" t="s">
        <v>19</v>
      </c>
      <c r="B18" s="15">
        <v>3856</v>
      </c>
      <c r="C18" s="15">
        <v>4268</v>
      </c>
      <c r="D18" s="10">
        <v>-9.7</v>
      </c>
      <c r="E18" s="15">
        <v>14941</v>
      </c>
      <c r="F18" s="15">
        <v>15434</v>
      </c>
      <c r="G18" s="10">
        <f aca="true" t="shared" si="3" ref="G18:G62">(E18-N18-F18)/F18*100</f>
        <v>-3.1942464688350394</v>
      </c>
      <c r="H18" s="15">
        <v>209632</v>
      </c>
      <c r="I18" s="15">
        <v>249312</v>
      </c>
      <c r="J18" s="11">
        <f aca="true" t="shared" si="4" ref="J18:J62">(H18-O18-I18)/I18*100</f>
        <v>-15.915800282377102</v>
      </c>
    </row>
    <row r="19" spans="1:10" ht="13.5">
      <c r="A19" s="12" t="s">
        <v>20</v>
      </c>
      <c r="B19" s="13">
        <v>88</v>
      </c>
      <c r="C19" s="13">
        <v>103</v>
      </c>
      <c r="D19" s="10">
        <f aca="true" t="shared" si="5" ref="D19:D62">(B19-M19-C19)/C19*100</f>
        <v>-14.563106796116504</v>
      </c>
      <c r="E19" s="14">
        <v>202</v>
      </c>
      <c r="F19" s="14">
        <v>198</v>
      </c>
      <c r="G19" s="10">
        <f t="shared" si="3"/>
        <v>2.0202020202020203</v>
      </c>
      <c r="H19" s="14">
        <v>2947</v>
      </c>
      <c r="I19" s="14">
        <v>2182</v>
      </c>
      <c r="J19" s="11">
        <f t="shared" si="4"/>
        <v>35.059578368469296</v>
      </c>
    </row>
    <row r="20" spans="1:10" ht="13.5">
      <c r="A20" s="12" t="s">
        <v>21</v>
      </c>
      <c r="B20" s="13">
        <v>76</v>
      </c>
      <c r="C20" s="13">
        <v>85</v>
      </c>
      <c r="D20" s="10">
        <f t="shared" si="5"/>
        <v>-10.588235294117647</v>
      </c>
      <c r="E20" s="14">
        <v>246</v>
      </c>
      <c r="F20" s="14">
        <v>282</v>
      </c>
      <c r="G20" s="10">
        <f t="shared" si="3"/>
        <v>-12.76595744680851</v>
      </c>
      <c r="H20" s="14">
        <v>2621</v>
      </c>
      <c r="I20" s="14">
        <v>4118</v>
      </c>
      <c r="J20" s="11">
        <f t="shared" si="4"/>
        <v>-36.35259834871297</v>
      </c>
    </row>
    <row r="21" spans="1:10" ht="13.5">
      <c r="A21" s="12" t="s">
        <v>22</v>
      </c>
      <c r="B21" s="13">
        <v>74</v>
      </c>
      <c r="C21" s="13">
        <v>79</v>
      </c>
      <c r="D21" s="10">
        <f t="shared" si="5"/>
        <v>-6.329113924050633</v>
      </c>
      <c r="E21" s="14">
        <v>278</v>
      </c>
      <c r="F21" s="14">
        <v>248</v>
      </c>
      <c r="G21" s="10">
        <f t="shared" si="3"/>
        <v>12.096774193548388</v>
      </c>
      <c r="H21" s="14">
        <v>3855</v>
      </c>
      <c r="I21" s="14">
        <v>5208</v>
      </c>
      <c r="J21" s="11">
        <f t="shared" si="4"/>
        <v>-25.97926267281106</v>
      </c>
    </row>
    <row r="22" spans="1:10" ht="13.5">
      <c r="A22" s="12" t="s">
        <v>23</v>
      </c>
      <c r="B22" s="13">
        <v>77</v>
      </c>
      <c r="C22" s="13">
        <v>77</v>
      </c>
      <c r="D22" s="10">
        <f t="shared" si="5"/>
        <v>0</v>
      </c>
      <c r="E22" s="14">
        <v>195</v>
      </c>
      <c r="F22" s="14">
        <v>206</v>
      </c>
      <c r="G22" s="10">
        <f t="shared" si="3"/>
        <v>-5.339805825242718</v>
      </c>
      <c r="H22" s="14">
        <v>2585</v>
      </c>
      <c r="I22" s="14">
        <v>2641</v>
      </c>
      <c r="J22" s="11">
        <f t="shared" si="4"/>
        <v>-2.1204089360090874</v>
      </c>
    </row>
    <row r="23" spans="1:10" ht="13.5">
      <c r="A23" s="12" t="s">
        <v>24</v>
      </c>
      <c r="B23" s="13">
        <v>14</v>
      </c>
      <c r="C23" s="13">
        <v>18</v>
      </c>
      <c r="D23" s="10">
        <f t="shared" si="5"/>
        <v>-22.22222222222222</v>
      </c>
      <c r="E23" s="14">
        <v>44</v>
      </c>
      <c r="F23" s="14">
        <v>43</v>
      </c>
      <c r="G23" s="10">
        <f t="shared" si="3"/>
        <v>2.3255813953488373</v>
      </c>
      <c r="H23" s="14">
        <v>346</v>
      </c>
      <c r="I23" s="14">
        <v>615</v>
      </c>
      <c r="J23" s="11">
        <f t="shared" si="4"/>
        <v>-43.73983739837398</v>
      </c>
    </row>
    <row r="24" spans="1:10" ht="13.5">
      <c r="A24" s="12" t="s">
        <v>25</v>
      </c>
      <c r="B24" s="13">
        <v>12</v>
      </c>
      <c r="C24" s="13">
        <v>15</v>
      </c>
      <c r="D24" s="10">
        <f t="shared" si="5"/>
        <v>-20</v>
      </c>
      <c r="E24" s="14">
        <v>45</v>
      </c>
      <c r="F24" s="14">
        <v>45</v>
      </c>
      <c r="G24" s="10">
        <f t="shared" si="3"/>
        <v>0</v>
      </c>
      <c r="H24" s="16">
        <v>389</v>
      </c>
      <c r="I24" s="14">
        <v>414</v>
      </c>
      <c r="J24" s="11">
        <f t="shared" si="4"/>
        <v>-6.038647342995169</v>
      </c>
    </row>
    <row r="25" spans="1:10" ht="13.5">
      <c r="A25" s="12" t="s">
        <v>26</v>
      </c>
      <c r="B25" s="13">
        <v>67</v>
      </c>
      <c r="C25" s="13">
        <v>72</v>
      </c>
      <c r="D25" s="10">
        <f t="shared" si="5"/>
        <v>-6.944444444444445</v>
      </c>
      <c r="E25" s="14">
        <v>303</v>
      </c>
      <c r="F25" s="14">
        <v>260</v>
      </c>
      <c r="G25" s="10">
        <f t="shared" si="3"/>
        <v>16.538461538461537</v>
      </c>
      <c r="H25" s="14">
        <v>5606</v>
      </c>
      <c r="I25" s="14">
        <v>6604</v>
      </c>
      <c r="J25" s="11">
        <f t="shared" si="4"/>
        <v>-15.112053301029679</v>
      </c>
    </row>
    <row r="26" spans="1:10" ht="13.5">
      <c r="A26" s="12" t="s">
        <v>27</v>
      </c>
      <c r="B26" s="13">
        <v>92</v>
      </c>
      <c r="C26" s="13">
        <v>108</v>
      </c>
      <c r="D26" s="10">
        <f t="shared" si="5"/>
        <v>-14.814814814814813</v>
      </c>
      <c r="E26" s="14">
        <v>506</v>
      </c>
      <c r="F26" s="14">
        <v>474</v>
      </c>
      <c r="G26" s="10">
        <f t="shared" si="3"/>
        <v>6.751054852320674</v>
      </c>
      <c r="H26" s="14">
        <v>16936</v>
      </c>
      <c r="I26" s="14">
        <v>17231</v>
      </c>
      <c r="J26" s="11">
        <f t="shared" si="4"/>
        <v>-1.7120306424467528</v>
      </c>
    </row>
    <row r="27" spans="1:10" ht="13.5">
      <c r="A27" s="12" t="s">
        <v>28</v>
      </c>
      <c r="B27" s="13">
        <v>47</v>
      </c>
      <c r="C27" s="13">
        <v>46</v>
      </c>
      <c r="D27" s="10">
        <f t="shared" si="5"/>
        <v>2.1739130434782608</v>
      </c>
      <c r="E27" s="14">
        <v>178</v>
      </c>
      <c r="F27" s="14">
        <v>158</v>
      </c>
      <c r="G27" s="10">
        <f t="shared" si="3"/>
        <v>12.658227848101266</v>
      </c>
      <c r="H27" s="14">
        <v>2216</v>
      </c>
      <c r="I27" s="14">
        <v>1970</v>
      </c>
      <c r="J27" s="11">
        <f t="shared" si="4"/>
        <v>12.48730964467005</v>
      </c>
    </row>
    <row r="28" spans="1:10" ht="13.5">
      <c r="A28" s="12" t="s">
        <v>29</v>
      </c>
      <c r="B28" s="13">
        <v>320</v>
      </c>
      <c r="C28" s="13">
        <v>361</v>
      </c>
      <c r="D28" s="10">
        <f t="shared" si="5"/>
        <v>-11.357340720221606</v>
      </c>
      <c r="E28" s="14">
        <v>1733</v>
      </c>
      <c r="F28" s="14">
        <v>1721</v>
      </c>
      <c r="G28" s="10">
        <f t="shared" si="3"/>
        <v>0.6972690296339338</v>
      </c>
      <c r="H28" s="14">
        <v>21936</v>
      </c>
      <c r="I28" s="14">
        <v>22474</v>
      </c>
      <c r="J28" s="11">
        <f t="shared" si="4"/>
        <v>-2.3938773694046453</v>
      </c>
    </row>
    <row r="29" spans="1:10" ht="13.5">
      <c r="A29" s="12" t="s">
        <v>30</v>
      </c>
      <c r="B29" s="13">
        <v>217</v>
      </c>
      <c r="C29" s="13">
        <v>246</v>
      </c>
      <c r="D29" s="10">
        <f t="shared" si="5"/>
        <v>-11.788617886178862</v>
      </c>
      <c r="E29" s="14">
        <v>1076</v>
      </c>
      <c r="F29" s="14">
        <v>1280</v>
      </c>
      <c r="G29" s="10">
        <f t="shared" si="3"/>
        <v>-15.937499999999998</v>
      </c>
      <c r="H29" s="14">
        <v>18160</v>
      </c>
      <c r="I29" s="14">
        <v>22253</v>
      </c>
      <c r="J29" s="11">
        <f t="shared" si="4"/>
        <v>-18.393025659461646</v>
      </c>
    </row>
    <row r="30" spans="1:10" ht="13.5">
      <c r="A30" s="12" t="s">
        <v>31</v>
      </c>
      <c r="B30" s="13">
        <v>67</v>
      </c>
      <c r="C30" s="13">
        <v>83</v>
      </c>
      <c r="D30" s="10">
        <f t="shared" si="5"/>
        <v>-19.27710843373494</v>
      </c>
      <c r="E30" s="14">
        <v>264</v>
      </c>
      <c r="F30" s="14">
        <v>258</v>
      </c>
      <c r="G30" s="10">
        <f t="shared" si="3"/>
        <v>2.3255813953488373</v>
      </c>
      <c r="H30" s="14">
        <v>7435</v>
      </c>
      <c r="I30" s="14">
        <v>8689</v>
      </c>
      <c r="J30" s="11">
        <f t="shared" si="4"/>
        <v>-14.432040510990907</v>
      </c>
    </row>
    <row r="31" spans="1:10" ht="13.5">
      <c r="A31" s="12" t="s">
        <v>32</v>
      </c>
      <c r="B31" s="13">
        <v>82</v>
      </c>
      <c r="C31" s="13">
        <v>89</v>
      </c>
      <c r="D31" s="10">
        <f t="shared" si="5"/>
        <v>-7.865168539325842</v>
      </c>
      <c r="E31" s="14">
        <v>279</v>
      </c>
      <c r="F31" s="14">
        <v>235</v>
      </c>
      <c r="G31" s="10">
        <f t="shared" si="3"/>
        <v>18.72340425531915</v>
      </c>
      <c r="H31" s="14">
        <v>2493</v>
      </c>
      <c r="I31" s="14">
        <v>2348</v>
      </c>
      <c r="J31" s="11">
        <f t="shared" si="4"/>
        <v>6.175468483816013</v>
      </c>
    </row>
    <row r="32" spans="1:10" ht="13.5">
      <c r="A32" s="12" t="s">
        <v>33</v>
      </c>
      <c r="B32" s="13">
        <v>17</v>
      </c>
      <c r="C32" s="13">
        <v>21</v>
      </c>
      <c r="D32" s="10">
        <f t="shared" si="5"/>
        <v>-19.047619047619047</v>
      </c>
      <c r="E32" s="14">
        <v>120</v>
      </c>
      <c r="F32" s="14">
        <v>150</v>
      </c>
      <c r="G32" s="10">
        <f t="shared" si="3"/>
        <v>-20</v>
      </c>
      <c r="H32" s="14">
        <v>4332</v>
      </c>
      <c r="I32" s="14">
        <v>6248</v>
      </c>
      <c r="J32" s="11">
        <f t="shared" si="4"/>
        <v>-30.66581306017926</v>
      </c>
    </row>
    <row r="33" spans="1:10" ht="13.5">
      <c r="A33" s="12" t="s">
        <v>34</v>
      </c>
      <c r="B33" s="13">
        <v>45</v>
      </c>
      <c r="C33" s="13">
        <v>54</v>
      </c>
      <c r="D33" s="10">
        <f t="shared" si="5"/>
        <v>-16.666666666666664</v>
      </c>
      <c r="E33" s="14">
        <v>115</v>
      </c>
      <c r="F33" s="14">
        <v>129</v>
      </c>
      <c r="G33" s="10">
        <f t="shared" si="3"/>
        <v>-10.852713178294573</v>
      </c>
      <c r="H33" s="14">
        <v>1238</v>
      </c>
      <c r="I33" s="14">
        <v>1456</v>
      </c>
      <c r="J33" s="11">
        <f t="shared" si="4"/>
        <v>-14.972527472527473</v>
      </c>
    </row>
    <row r="34" spans="1:10" ht="13.5">
      <c r="A34" s="12" t="s">
        <v>35</v>
      </c>
      <c r="B34" s="13">
        <v>85</v>
      </c>
      <c r="C34" s="13">
        <v>102</v>
      </c>
      <c r="D34" s="10">
        <f t="shared" si="5"/>
        <v>-16.666666666666664</v>
      </c>
      <c r="E34" s="14">
        <v>317</v>
      </c>
      <c r="F34" s="14">
        <v>324</v>
      </c>
      <c r="G34" s="10">
        <f t="shared" si="3"/>
        <v>-2.1604938271604937</v>
      </c>
      <c r="H34" s="14">
        <v>4388</v>
      </c>
      <c r="I34" s="14">
        <v>4676</v>
      </c>
      <c r="J34" s="11">
        <f t="shared" si="4"/>
        <v>-6.159110350727117</v>
      </c>
    </row>
    <row r="35" spans="1:10" ht="13.5">
      <c r="A35" s="12" t="s">
        <v>36</v>
      </c>
      <c r="B35" s="13">
        <v>112</v>
      </c>
      <c r="C35" s="13">
        <v>127</v>
      </c>
      <c r="D35" s="10">
        <f t="shared" si="5"/>
        <v>-11.811023622047244</v>
      </c>
      <c r="E35" s="14">
        <v>292</v>
      </c>
      <c r="F35" s="14">
        <v>317</v>
      </c>
      <c r="G35" s="10">
        <f t="shared" si="3"/>
        <v>-7.886435331230284</v>
      </c>
      <c r="H35" s="14">
        <v>3204</v>
      </c>
      <c r="I35" s="14">
        <v>3672</v>
      </c>
      <c r="J35" s="11">
        <f t="shared" si="4"/>
        <v>-12.745098039215685</v>
      </c>
    </row>
    <row r="36" spans="1:10" ht="13.5">
      <c r="A36" s="12" t="s">
        <v>37</v>
      </c>
      <c r="B36" s="13">
        <v>13</v>
      </c>
      <c r="C36" s="13">
        <v>15</v>
      </c>
      <c r="D36" s="10">
        <f t="shared" si="5"/>
        <v>-13.333333333333334</v>
      </c>
      <c r="E36" s="14">
        <v>42</v>
      </c>
      <c r="F36" s="14">
        <v>53</v>
      </c>
      <c r="G36" s="10">
        <f t="shared" si="3"/>
        <v>-20.754716981132077</v>
      </c>
      <c r="H36" s="16">
        <v>298</v>
      </c>
      <c r="I36" s="14">
        <v>540</v>
      </c>
      <c r="J36" s="11">
        <f t="shared" si="4"/>
        <v>-44.81481481481481</v>
      </c>
    </row>
    <row r="37" spans="1:10" ht="13.5">
      <c r="A37" s="12" t="s">
        <v>38</v>
      </c>
      <c r="B37" s="13">
        <v>10</v>
      </c>
      <c r="C37" s="13">
        <v>10</v>
      </c>
      <c r="D37" s="10">
        <f t="shared" si="5"/>
        <v>0</v>
      </c>
      <c r="E37" s="14">
        <v>28</v>
      </c>
      <c r="F37" s="14">
        <v>25</v>
      </c>
      <c r="G37" s="10">
        <f t="shared" si="3"/>
        <v>12</v>
      </c>
      <c r="H37" s="16">
        <v>202</v>
      </c>
      <c r="I37" s="14">
        <v>263</v>
      </c>
      <c r="J37" s="11">
        <f t="shared" si="4"/>
        <v>-23.193916349809886</v>
      </c>
    </row>
    <row r="38" spans="1:10" ht="13.5">
      <c r="A38" s="12" t="s">
        <v>39</v>
      </c>
      <c r="B38" s="13">
        <v>77</v>
      </c>
      <c r="C38" s="13">
        <v>80</v>
      </c>
      <c r="D38" s="10">
        <f t="shared" si="5"/>
        <v>-3.75</v>
      </c>
      <c r="E38" s="14">
        <v>410</v>
      </c>
      <c r="F38" s="14">
        <v>339</v>
      </c>
      <c r="G38" s="10">
        <f t="shared" si="3"/>
        <v>20.943952802359885</v>
      </c>
      <c r="H38" s="14">
        <v>4967</v>
      </c>
      <c r="I38" s="14">
        <v>5285</v>
      </c>
      <c r="J38" s="11">
        <f t="shared" si="4"/>
        <v>-6.017029328287606</v>
      </c>
    </row>
    <row r="39" spans="1:10" ht="13.5">
      <c r="A39" s="12" t="s">
        <v>40</v>
      </c>
      <c r="B39" s="13">
        <v>6</v>
      </c>
      <c r="C39" s="13">
        <v>7</v>
      </c>
      <c r="D39" s="10">
        <f t="shared" si="5"/>
        <v>-14.285714285714285</v>
      </c>
      <c r="E39" s="14">
        <v>11</v>
      </c>
      <c r="F39" s="14">
        <v>11</v>
      </c>
      <c r="G39" s="10">
        <f t="shared" si="3"/>
        <v>0</v>
      </c>
      <c r="H39" s="14">
        <v>72</v>
      </c>
      <c r="I39" s="14">
        <v>69</v>
      </c>
      <c r="J39" s="11">
        <f t="shared" si="4"/>
        <v>4.3478260869565215</v>
      </c>
    </row>
    <row r="40" spans="1:10" ht="13.5">
      <c r="A40" s="12" t="s">
        <v>41</v>
      </c>
      <c r="B40" s="13">
        <v>12</v>
      </c>
      <c r="C40" s="13">
        <v>10</v>
      </c>
      <c r="D40" s="10">
        <f t="shared" si="5"/>
        <v>20</v>
      </c>
      <c r="E40" s="14">
        <v>22</v>
      </c>
      <c r="F40" s="14">
        <v>18</v>
      </c>
      <c r="G40" s="10">
        <f t="shared" si="3"/>
        <v>22.22222222222222</v>
      </c>
      <c r="H40" s="14">
        <v>345</v>
      </c>
      <c r="I40" s="14">
        <v>353</v>
      </c>
      <c r="J40" s="11">
        <f t="shared" si="4"/>
        <v>-2.26628895184136</v>
      </c>
    </row>
    <row r="41" spans="1:10" ht="13.5">
      <c r="A41" s="12" t="s">
        <v>42</v>
      </c>
      <c r="B41" s="13">
        <v>297</v>
      </c>
      <c r="C41" s="13">
        <v>301</v>
      </c>
      <c r="D41" s="10">
        <f t="shared" si="5"/>
        <v>-1.3289036544850499</v>
      </c>
      <c r="E41" s="14">
        <v>1473</v>
      </c>
      <c r="F41" s="14">
        <v>1464</v>
      </c>
      <c r="G41" s="10">
        <f t="shared" si="3"/>
        <v>0.6147540983606558</v>
      </c>
      <c r="H41" s="14">
        <v>21475</v>
      </c>
      <c r="I41" s="14">
        <v>19753</v>
      </c>
      <c r="J41" s="11">
        <f t="shared" si="4"/>
        <v>8.717663139776237</v>
      </c>
    </row>
    <row r="42" spans="1:10" ht="13.5">
      <c r="A42" s="12" t="s">
        <v>43</v>
      </c>
      <c r="B42" s="13">
        <v>43</v>
      </c>
      <c r="C42" s="13">
        <v>44</v>
      </c>
      <c r="D42" s="10">
        <f t="shared" si="5"/>
        <v>-2.272727272727273</v>
      </c>
      <c r="E42" s="14">
        <v>90</v>
      </c>
      <c r="F42" s="14">
        <v>81</v>
      </c>
      <c r="G42" s="10">
        <f t="shared" si="3"/>
        <v>11.11111111111111</v>
      </c>
      <c r="H42" s="14">
        <v>726</v>
      </c>
      <c r="I42" s="14">
        <v>843</v>
      </c>
      <c r="J42" s="11">
        <f t="shared" si="4"/>
        <v>-13.87900355871886</v>
      </c>
    </row>
    <row r="43" spans="1:10" ht="13.5">
      <c r="A43" s="12" t="s">
        <v>44</v>
      </c>
      <c r="B43" s="13">
        <v>150</v>
      </c>
      <c r="C43" s="13">
        <v>162</v>
      </c>
      <c r="D43" s="10">
        <f t="shared" si="5"/>
        <v>-7.4074074074074066</v>
      </c>
      <c r="E43" s="14">
        <v>669</v>
      </c>
      <c r="F43" s="14">
        <v>741</v>
      </c>
      <c r="G43" s="10">
        <f t="shared" si="3"/>
        <v>-9.7165991902834</v>
      </c>
      <c r="H43" s="14">
        <v>8048</v>
      </c>
      <c r="I43" s="14">
        <v>28717</v>
      </c>
      <c r="J43" s="11">
        <f t="shared" si="4"/>
        <v>-71.97478845283281</v>
      </c>
    </row>
    <row r="44" spans="1:10" ht="13.5">
      <c r="A44" s="12" t="s">
        <v>45</v>
      </c>
      <c r="B44" s="13">
        <v>64</v>
      </c>
      <c r="C44" s="13">
        <v>77</v>
      </c>
      <c r="D44" s="10">
        <f t="shared" si="5"/>
        <v>-16.883116883116884</v>
      </c>
      <c r="E44" s="14">
        <v>136</v>
      </c>
      <c r="F44" s="14">
        <v>153</v>
      </c>
      <c r="G44" s="10">
        <f t="shared" si="3"/>
        <v>-11.11111111111111</v>
      </c>
      <c r="H44" s="14">
        <v>1190</v>
      </c>
      <c r="I44" s="14">
        <v>1297</v>
      </c>
      <c r="J44" s="11">
        <f t="shared" si="4"/>
        <v>-8.249807247494218</v>
      </c>
    </row>
    <row r="45" spans="1:10" ht="13.5">
      <c r="A45" s="12" t="s">
        <v>46</v>
      </c>
      <c r="B45" s="13">
        <v>51</v>
      </c>
      <c r="C45" s="13">
        <v>58</v>
      </c>
      <c r="D45" s="10">
        <f t="shared" si="5"/>
        <v>-12.068965517241379</v>
      </c>
      <c r="E45" s="14">
        <v>112</v>
      </c>
      <c r="F45" s="14">
        <v>108</v>
      </c>
      <c r="G45" s="10">
        <f t="shared" si="3"/>
        <v>3.7037037037037033</v>
      </c>
      <c r="H45" s="14">
        <v>867</v>
      </c>
      <c r="I45" s="14">
        <v>970</v>
      </c>
      <c r="J45" s="11">
        <f t="shared" si="4"/>
        <v>-10.618556701030927</v>
      </c>
    </row>
    <row r="46" spans="1:10" ht="13.5">
      <c r="A46" s="12" t="s">
        <v>47</v>
      </c>
      <c r="B46" s="13">
        <v>170</v>
      </c>
      <c r="C46" s="13">
        <v>197</v>
      </c>
      <c r="D46" s="10">
        <f t="shared" si="5"/>
        <v>-13.705583756345177</v>
      </c>
      <c r="E46" s="14">
        <v>546</v>
      </c>
      <c r="F46" s="14">
        <v>588</v>
      </c>
      <c r="G46" s="10">
        <f t="shared" si="3"/>
        <v>-7.142857142857142</v>
      </c>
      <c r="H46" s="14">
        <v>5056</v>
      </c>
      <c r="I46" s="14">
        <v>5185</v>
      </c>
      <c r="J46" s="11">
        <f t="shared" si="4"/>
        <v>-2.4879459980713596</v>
      </c>
    </row>
    <row r="47" spans="1:10" ht="13.5">
      <c r="A47" s="12" t="s">
        <v>48</v>
      </c>
      <c r="B47" s="13">
        <v>184</v>
      </c>
      <c r="C47" s="13">
        <v>206</v>
      </c>
      <c r="D47" s="10">
        <f t="shared" si="5"/>
        <v>-10.679611650485436</v>
      </c>
      <c r="E47" s="14">
        <v>921</v>
      </c>
      <c r="F47" s="14">
        <v>952</v>
      </c>
      <c r="G47" s="10">
        <f t="shared" si="3"/>
        <v>-3.256302521008404</v>
      </c>
      <c r="H47" s="14">
        <v>14650</v>
      </c>
      <c r="I47" s="14">
        <v>14429</v>
      </c>
      <c r="J47" s="11">
        <f t="shared" si="4"/>
        <v>1.5316376741284912</v>
      </c>
    </row>
    <row r="48" spans="1:10" ht="13.5">
      <c r="A48" s="12" t="s">
        <v>49</v>
      </c>
      <c r="B48" s="13">
        <v>129</v>
      </c>
      <c r="C48" s="13">
        <v>148</v>
      </c>
      <c r="D48" s="10">
        <f t="shared" si="5"/>
        <v>-12.837837837837837</v>
      </c>
      <c r="E48" s="14">
        <v>525</v>
      </c>
      <c r="F48" s="14">
        <v>544</v>
      </c>
      <c r="G48" s="10">
        <f t="shared" si="3"/>
        <v>-3.4926470588235294</v>
      </c>
      <c r="H48" s="14">
        <v>6872</v>
      </c>
      <c r="I48" s="14">
        <v>7350</v>
      </c>
      <c r="J48" s="11">
        <f t="shared" si="4"/>
        <v>-6.503401360544217</v>
      </c>
    </row>
    <row r="49" spans="1:10" ht="13.5">
      <c r="A49" s="12" t="s">
        <v>50</v>
      </c>
      <c r="B49" s="13">
        <v>310</v>
      </c>
      <c r="C49" s="13">
        <v>343</v>
      </c>
      <c r="D49" s="10">
        <f t="shared" si="5"/>
        <v>-9.620991253644315</v>
      </c>
      <c r="E49" s="14">
        <v>1193</v>
      </c>
      <c r="F49" s="14">
        <v>1328</v>
      </c>
      <c r="G49" s="10">
        <f t="shared" si="3"/>
        <v>-10.16566265060241</v>
      </c>
      <c r="H49" s="14">
        <v>17546</v>
      </c>
      <c r="I49" s="14">
        <v>20141</v>
      </c>
      <c r="J49" s="11">
        <f t="shared" si="4"/>
        <v>-12.884166625291693</v>
      </c>
    </row>
    <row r="50" spans="1:10" ht="13.5">
      <c r="A50" s="12" t="s">
        <v>51</v>
      </c>
      <c r="B50" s="13">
        <v>87</v>
      </c>
      <c r="C50" s="13">
        <v>94</v>
      </c>
      <c r="D50" s="10">
        <f t="shared" si="5"/>
        <v>-7.446808510638298</v>
      </c>
      <c r="E50" s="14">
        <v>201</v>
      </c>
      <c r="F50" s="14">
        <v>205</v>
      </c>
      <c r="G50" s="10">
        <f t="shared" si="3"/>
        <v>-1.951219512195122</v>
      </c>
      <c r="H50" s="14">
        <v>2013</v>
      </c>
      <c r="I50" s="14">
        <v>2248</v>
      </c>
      <c r="J50" s="11">
        <f t="shared" si="4"/>
        <v>-10.45373665480427</v>
      </c>
    </row>
    <row r="51" spans="1:10" ht="13.5">
      <c r="A51" s="12" t="s">
        <v>52</v>
      </c>
      <c r="B51" s="13">
        <v>26</v>
      </c>
      <c r="C51" s="13">
        <v>25</v>
      </c>
      <c r="D51" s="10">
        <f t="shared" si="5"/>
        <v>4</v>
      </c>
      <c r="E51" s="14">
        <v>77</v>
      </c>
      <c r="F51" s="14">
        <v>47</v>
      </c>
      <c r="G51" s="10">
        <f t="shared" si="3"/>
        <v>63.829787234042556</v>
      </c>
      <c r="H51" s="14">
        <v>344</v>
      </c>
      <c r="I51" s="14">
        <v>675</v>
      </c>
      <c r="J51" s="11">
        <f t="shared" si="4"/>
        <v>-49.03703703703704</v>
      </c>
    </row>
    <row r="52" spans="1:10" ht="13.5">
      <c r="A52" s="12" t="s">
        <v>53</v>
      </c>
      <c r="B52" s="13">
        <v>62</v>
      </c>
      <c r="C52" s="13">
        <v>69</v>
      </c>
      <c r="D52" s="10">
        <f t="shared" si="5"/>
        <v>-10.144927536231885</v>
      </c>
      <c r="E52" s="14">
        <v>157</v>
      </c>
      <c r="F52" s="14">
        <v>148</v>
      </c>
      <c r="G52" s="10">
        <f t="shared" si="3"/>
        <v>6.081081081081082</v>
      </c>
      <c r="H52" s="14">
        <v>1513</v>
      </c>
      <c r="I52" s="14">
        <v>1561</v>
      </c>
      <c r="J52" s="11">
        <f t="shared" si="4"/>
        <v>-3.074951953875721</v>
      </c>
    </row>
    <row r="53" spans="1:10" ht="13.5">
      <c r="A53" s="12" t="s">
        <v>54</v>
      </c>
      <c r="B53" s="13">
        <v>53</v>
      </c>
      <c r="C53" s="13">
        <v>60</v>
      </c>
      <c r="D53" s="10">
        <f t="shared" si="5"/>
        <v>-11.666666666666666</v>
      </c>
      <c r="E53" s="14">
        <v>212</v>
      </c>
      <c r="F53" s="14">
        <v>242</v>
      </c>
      <c r="G53" s="10">
        <f t="shared" si="3"/>
        <v>-12.396694214876034</v>
      </c>
      <c r="H53" s="14">
        <v>2494</v>
      </c>
      <c r="I53" s="14">
        <v>2939</v>
      </c>
      <c r="J53" s="11">
        <f t="shared" si="4"/>
        <v>-15.14120449132358</v>
      </c>
    </row>
    <row r="54" spans="1:10" ht="13.5">
      <c r="A54" s="12" t="s">
        <v>55</v>
      </c>
      <c r="B54" s="13">
        <v>42</v>
      </c>
      <c r="C54" s="13">
        <v>40</v>
      </c>
      <c r="D54" s="10">
        <f t="shared" si="5"/>
        <v>5</v>
      </c>
      <c r="E54" s="14">
        <v>115</v>
      </c>
      <c r="F54" s="14">
        <v>102</v>
      </c>
      <c r="G54" s="10">
        <f t="shared" si="3"/>
        <v>12.745098039215685</v>
      </c>
      <c r="H54" s="14">
        <v>779</v>
      </c>
      <c r="I54" s="14">
        <v>900</v>
      </c>
      <c r="J54" s="11">
        <f t="shared" si="4"/>
        <v>-13.444444444444445</v>
      </c>
    </row>
    <row r="55" spans="1:10" ht="13.5">
      <c r="A55" s="12" t="s">
        <v>56</v>
      </c>
      <c r="B55" s="13">
        <v>60</v>
      </c>
      <c r="C55" s="13">
        <v>72</v>
      </c>
      <c r="D55" s="10">
        <f t="shared" si="5"/>
        <v>-16.666666666666664</v>
      </c>
      <c r="E55" s="14">
        <v>245</v>
      </c>
      <c r="F55" s="14">
        <v>278</v>
      </c>
      <c r="G55" s="10">
        <f t="shared" si="3"/>
        <v>-11.870503597122301</v>
      </c>
      <c r="H55" s="16">
        <v>2987</v>
      </c>
      <c r="I55" s="14">
        <v>3793</v>
      </c>
      <c r="J55" s="11">
        <f t="shared" si="4"/>
        <v>-21.249670445557605</v>
      </c>
    </row>
    <row r="56" spans="1:10" ht="13.5">
      <c r="A56" s="12" t="s">
        <v>57</v>
      </c>
      <c r="B56" s="13">
        <v>67</v>
      </c>
      <c r="C56" s="13">
        <v>71</v>
      </c>
      <c r="D56" s="10">
        <f t="shared" si="5"/>
        <v>-5.633802816901409</v>
      </c>
      <c r="E56" s="14">
        <v>287</v>
      </c>
      <c r="F56" s="14">
        <v>386</v>
      </c>
      <c r="G56" s="10">
        <f t="shared" si="3"/>
        <v>-25.647668393782386</v>
      </c>
      <c r="H56" s="14">
        <v>3779</v>
      </c>
      <c r="I56" s="14">
        <v>4841</v>
      </c>
      <c r="J56" s="11">
        <f t="shared" si="4"/>
        <v>-21.937616195001034</v>
      </c>
    </row>
    <row r="57" spans="1:10" ht="13.5">
      <c r="A57" s="12" t="s">
        <v>58</v>
      </c>
      <c r="B57" s="13">
        <v>58</v>
      </c>
      <c r="C57" s="13">
        <v>69</v>
      </c>
      <c r="D57" s="10">
        <f t="shared" si="5"/>
        <v>-15.942028985507244</v>
      </c>
      <c r="E57" s="14">
        <v>163</v>
      </c>
      <c r="F57" s="14">
        <v>156</v>
      </c>
      <c r="G57" s="10">
        <f t="shared" si="3"/>
        <v>4.487179487179487</v>
      </c>
      <c r="H57" s="16">
        <v>1689</v>
      </c>
      <c r="I57" s="14">
        <v>1734</v>
      </c>
      <c r="J57" s="11">
        <f t="shared" si="4"/>
        <v>-2.5951557093425603</v>
      </c>
    </row>
    <row r="58" spans="1:10" ht="13.5">
      <c r="A58" s="12" t="s">
        <v>59</v>
      </c>
      <c r="B58" s="13">
        <v>145</v>
      </c>
      <c r="C58" s="13">
        <v>157</v>
      </c>
      <c r="D58" s="10">
        <f t="shared" si="5"/>
        <v>-7.643312101910828</v>
      </c>
      <c r="E58" s="14">
        <v>465</v>
      </c>
      <c r="F58" s="14">
        <v>497</v>
      </c>
      <c r="G58" s="10">
        <f t="shared" si="3"/>
        <v>-6.438631790744467</v>
      </c>
      <c r="H58" s="14">
        <v>5559</v>
      </c>
      <c r="I58" s="14">
        <v>6282</v>
      </c>
      <c r="J58" s="11">
        <f t="shared" si="4"/>
        <v>-11.509073543457497</v>
      </c>
    </row>
    <row r="59" spans="1:10" ht="13.5">
      <c r="A59" s="12" t="s">
        <v>60</v>
      </c>
      <c r="B59" s="13">
        <v>104</v>
      </c>
      <c r="C59" s="13">
        <v>117</v>
      </c>
      <c r="D59" s="10">
        <f t="shared" si="5"/>
        <v>-11.11111111111111</v>
      </c>
      <c r="E59" s="14">
        <v>245</v>
      </c>
      <c r="F59" s="14">
        <v>282</v>
      </c>
      <c r="G59" s="10">
        <f t="shared" si="3"/>
        <v>-13.120567375886525</v>
      </c>
      <c r="H59" s="14">
        <v>2199</v>
      </c>
      <c r="I59" s="14">
        <v>3110</v>
      </c>
      <c r="J59" s="11">
        <f t="shared" si="4"/>
        <v>-29.292604501607716</v>
      </c>
    </row>
    <row r="60" spans="1:10" ht="13.5">
      <c r="A60" s="12" t="s">
        <v>61</v>
      </c>
      <c r="B60" s="13">
        <v>55</v>
      </c>
      <c r="C60" s="13">
        <v>52</v>
      </c>
      <c r="D60" s="10">
        <f t="shared" si="5"/>
        <v>5.769230769230769</v>
      </c>
      <c r="E60" s="14">
        <v>144</v>
      </c>
      <c r="F60" s="14">
        <v>128</v>
      </c>
      <c r="G60" s="10">
        <f t="shared" si="3"/>
        <v>12.5</v>
      </c>
      <c r="H60" s="14">
        <v>1417</v>
      </c>
      <c r="I60" s="14">
        <v>1502</v>
      </c>
      <c r="J60" s="11">
        <f t="shared" si="4"/>
        <v>-5.659121171770972</v>
      </c>
    </row>
    <row r="61" spans="1:10" ht="13.5">
      <c r="A61" s="12" t="s">
        <v>62</v>
      </c>
      <c r="B61" s="13">
        <v>61</v>
      </c>
      <c r="C61" s="13">
        <v>65</v>
      </c>
      <c r="D61" s="10">
        <f t="shared" si="5"/>
        <v>-6.153846153846154</v>
      </c>
      <c r="E61" s="14">
        <v>171</v>
      </c>
      <c r="F61" s="14">
        <v>157</v>
      </c>
      <c r="G61" s="10">
        <f t="shared" si="3"/>
        <v>8.9171974522293</v>
      </c>
      <c r="H61" s="16">
        <v>1549</v>
      </c>
      <c r="I61" s="14">
        <v>1371</v>
      </c>
      <c r="J61" s="11">
        <f t="shared" si="4"/>
        <v>12.983223924142962</v>
      </c>
    </row>
    <row r="62" spans="1:10" ht="14.25" thickBot="1">
      <c r="A62" s="17" t="s">
        <v>63</v>
      </c>
      <c r="B62" s="18">
        <v>28</v>
      </c>
      <c r="C62" s="18">
        <v>33</v>
      </c>
      <c r="D62" s="19">
        <f t="shared" si="5"/>
        <v>-15.151515151515152</v>
      </c>
      <c r="E62" s="20">
        <v>88</v>
      </c>
      <c r="F62" s="20">
        <v>73</v>
      </c>
      <c r="G62" s="19">
        <f t="shared" si="3"/>
        <v>20.54794520547945</v>
      </c>
      <c r="H62" s="21">
        <v>310</v>
      </c>
      <c r="I62" s="20">
        <v>362</v>
      </c>
      <c r="J62" s="22">
        <f t="shared" si="4"/>
        <v>-14.3646408839779</v>
      </c>
    </row>
  </sheetData>
  <mergeCells count="1">
    <mergeCell ref="A3:A4"/>
  </mergeCells>
  <printOptions/>
  <pageMargins left="0.9" right="0.54" top="0.69" bottom="0.54" header="0.512" footer="0.51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1" sqref="A1"/>
    </sheetView>
  </sheetViews>
  <sheetFormatPr defaultColWidth="9.00390625" defaultRowHeight="13.5"/>
  <cols>
    <col min="1" max="1" width="15.25390625" style="0" customWidth="1"/>
  </cols>
  <sheetData>
    <row r="1" spans="1:10" ht="13.5">
      <c r="A1" s="1" t="s">
        <v>64</v>
      </c>
      <c r="B1" s="1"/>
      <c r="C1" s="1"/>
      <c r="D1" s="1"/>
      <c r="E1" s="1"/>
      <c r="F1" s="1"/>
      <c r="G1" s="1"/>
      <c r="H1" s="2"/>
      <c r="I1" s="2"/>
      <c r="J1" s="2"/>
    </row>
    <row r="2" spans="1:10" ht="14.25" thickBot="1">
      <c r="A2" s="3"/>
      <c r="B2" s="3"/>
      <c r="C2" s="3"/>
      <c r="D2" s="3"/>
      <c r="E2" s="2"/>
      <c r="F2" s="2"/>
      <c r="G2" s="2" t="s">
        <v>1</v>
      </c>
      <c r="H2" s="2"/>
      <c r="I2" s="2"/>
      <c r="J2" s="2"/>
    </row>
    <row r="3" spans="1:10" ht="13.5">
      <c r="A3" s="41"/>
      <c r="B3" s="4" t="s">
        <v>2</v>
      </c>
      <c r="C3" s="4"/>
      <c r="D3" s="4"/>
      <c r="E3" s="4" t="s">
        <v>3</v>
      </c>
      <c r="F3" s="4"/>
      <c r="G3" s="4"/>
      <c r="H3" s="4" t="s">
        <v>4</v>
      </c>
      <c r="I3" s="4"/>
      <c r="J3" s="5"/>
    </row>
    <row r="4" spans="1:10" ht="13.5">
      <c r="A4" s="42"/>
      <c r="B4" s="6" t="s">
        <v>5</v>
      </c>
      <c r="C4" s="6" t="s">
        <v>6</v>
      </c>
      <c r="D4" s="6" t="s">
        <v>7</v>
      </c>
      <c r="E4" s="6" t="s">
        <v>5</v>
      </c>
      <c r="F4" s="6" t="s">
        <v>6</v>
      </c>
      <c r="G4" s="6" t="s">
        <v>7</v>
      </c>
      <c r="H4" s="6" t="s">
        <v>5</v>
      </c>
      <c r="I4" s="6" t="s">
        <v>6</v>
      </c>
      <c r="J4" s="7" t="s">
        <v>7</v>
      </c>
    </row>
    <row r="5" spans="1:10" ht="13.5">
      <c r="A5" s="8" t="s">
        <v>8</v>
      </c>
      <c r="B5" s="9">
        <f>SUM(B7,B18)</f>
        <v>2193</v>
      </c>
      <c r="C5" s="9">
        <f>C7+C18</f>
        <v>2526</v>
      </c>
      <c r="D5" s="10">
        <f>(B5-C5)/C5*100</f>
        <v>-13.182897862232778</v>
      </c>
      <c r="E5" s="9">
        <f>SUM(E7,E18)</f>
        <v>18407</v>
      </c>
      <c r="F5" s="9">
        <f>F7+F18</f>
        <v>21848</v>
      </c>
      <c r="G5" s="10">
        <f>(E5-F5)/F5*100</f>
        <v>-15.749725375320395</v>
      </c>
      <c r="H5" s="9">
        <v>895144</v>
      </c>
      <c r="I5" s="9">
        <f>I7+I18</f>
        <v>1081862</v>
      </c>
      <c r="J5" s="11">
        <f>(H5-I5)/I5*100</f>
        <v>-17.258947998912983</v>
      </c>
    </row>
    <row r="6" spans="1:10" ht="13.5">
      <c r="A6" s="8"/>
      <c r="B6" s="9"/>
      <c r="C6" s="9"/>
      <c r="D6" s="10"/>
      <c r="E6" s="9"/>
      <c r="F6" s="9"/>
      <c r="G6" s="10"/>
      <c r="H6" s="9"/>
      <c r="I6" s="9"/>
      <c r="J6" s="11"/>
    </row>
    <row r="7" spans="1:10" ht="13.5">
      <c r="A7" s="8" t="s">
        <v>9</v>
      </c>
      <c r="B7" s="9">
        <f>SUM(B8:B16)</f>
        <v>1882</v>
      </c>
      <c r="C7" s="9">
        <f>SUM(C8:C16)</f>
        <v>2192</v>
      </c>
      <c r="D7" s="10">
        <f aca="true" t="shared" si="0" ref="D7:D16">(B7-C7)/C7*100</f>
        <v>-14.142335766423358</v>
      </c>
      <c r="E7" s="9">
        <f>SUM(E8:E16)</f>
        <v>16635</v>
      </c>
      <c r="F7" s="9">
        <f>SUM(F8:F16)</f>
        <v>19791</v>
      </c>
      <c r="G7" s="10">
        <f aca="true" t="shared" si="1" ref="G7:G16">(E7-F7)/F7*100</f>
        <v>-15.946642413218129</v>
      </c>
      <c r="H7" s="9">
        <v>834681</v>
      </c>
      <c r="I7" s="9">
        <v>993099</v>
      </c>
      <c r="J7" s="11">
        <f aca="true" t="shared" si="2" ref="J7:J16">(H7-I7)/I7*100</f>
        <v>-15.951883951146865</v>
      </c>
    </row>
    <row r="8" spans="1:10" ht="13.5">
      <c r="A8" s="12" t="s">
        <v>10</v>
      </c>
      <c r="B8" s="13">
        <v>1363</v>
      </c>
      <c r="C8" s="13">
        <v>1621</v>
      </c>
      <c r="D8" s="10">
        <f t="shared" si="0"/>
        <v>-15.91610117211598</v>
      </c>
      <c r="E8" s="14">
        <v>12947</v>
      </c>
      <c r="F8" s="14">
        <v>15920</v>
      </c>
      <c r="G8" s="10">
        <f t="shared" si="1"/>
        <v>-18.67462311557789</v>
      </c>
      <c r="H8" s="14">
        <v>650967</v>
      </c>
      <c r="I8" s="14">
        <v>829508</v>
      </c>
      <c r="J8" s="11">
        <f t="shared" si="2"/>
        <v>-21.523722495744465</v>
      </c>
    </row>
    <row r="9" spans="1:10" ht="13.5">
      <c r="A9" s="12" t="s">
        <v>11</v>
      </c>
      <c r="B9" s="13">
        <v>45</v>
      </c>
      <c r="C9" s="13">
        <v>42</v>
      </c>
      <c r="D9" s="10">
        <f t="shared" si="0"/>
        <v>7.142857142857142</v>
      </c>
      <c r="E9" s="14">
        <v>261</v>
      </c>
      <c r="F9" s="14">
        <v>278</v>
      </c>
      <c r="G9" s="10">
        <f t="shared" si="1"/>
        <v>-6.115107913669065</v>
      </c>
      <c r="H9" s="14">
        <v>9228</v>
      </c>
      <c r="I9" s="14">
        <v>9947</v>
      </c>
      <c r="J9" s="11">
        <f t="shared" si="2"/>
        <v>-7.228310043229113</v>
      </c>
    </row>
    <row r="10" spans="1:10" ht="13.5">
      <c r="A10" s="12" t="s">
        <v>12</v>
      </c>
      <c r="B10" s="13">
        <v>41</v>
      </c>
      <c r="C10" s="13">
        <v>49</v>
      </c>
      <c r="D10" s="10">
        <f t="shared" si="0"/>
        <v>-16.3265306122449</v>
      </c>
      <c r="E10" s="14">
        <v>247</v>
      </c>
      <c r="F10" s="14">
        <v>296</v>
      </c>
      <c r="G10" s="10">
        <f t="shared" si="1"/>
        <v>-16.554054054054053</v>
      </c>
      <c r="H10" s="14">
        <v>10046</v>
      </c>
      <c r="I10" s="14">
        <v>11837</v>
      </c>
      <c r="J10" s="11">
        <f t="shared" si="2"/>
        <v>-15.130522936554872</v>
      </c>
    </row>
    <row r="11" spans="1:10" ht="13.5">
      <c r="A11" s="12" t="s">
        <v>13</v>
      </c>
      <c r="B11" s="13">
        <v>94</v>
      </c>
      <c r="C11" s="13">
        <v>107</v>
      </c>
      <c r="D11" s="10">
        <f t="shared" si="0"/>
        <v>-12.149532710280374</v>
      </c>
      <c r="E11" s="14">
        <v>962</v>
      </c>
      <c r="F11" s="14">
        <v>940</v>
      </c>
      <c r="G11" s="10">
        <f t="shared" si="1"/>
        <v>2.3404255319148937</v>
      </c>
      <c r="H11" s="14">
        <v>69540</v>
      </c>
      <c r="I11" s="14">
        <v>43688</v>
      </c>
      <c r="J11" s="11">
        <f t="shared" si="2"/>
        <v>59.17414392968321</v>
      </c>
    </row>
    <row r="12" spans="1:10" ht="13.5">
      <c r="A12" s="12" t="s">
        <v>14</v>
      </c>
      <c r="B12" s="13">
        <v>58</v>
      </c>
      <c r="C12" s="13">
        <v>63</v>
      </c>
      <c r="D12" s="10">
        <f t="shared" si="0"/>
        <v>-7.936507936507936</v>
      </c>
      <c r="E12" s="14">
        <v>496</v>
      </c>
      <c r="F12" s="14">
        <v>419</v>
      </c>
      <c r="G12" s="10">
        <f t="shared" si="1"/>
        <v>18.377088305489263</v>
      </c>
      <c r="H12" s="14">
        <v>10907</v>
      </c>
      <c r="I12" s="14">
        <v>11399</v>
      </c>
      <c r="J12" s="11">
        <f t="shared" si="2"/>
        <v>-4.316168084919729</v>
      </c>
    </row>
    <row r="13" spans="1:10" ht="13.5">
      <c r="A13" s="12" t="s">
        <v>15</v>
      </c>
      <c r="B13" s="13">
        <v>70</v>
      </c>
      <c r="C13" s="13">
        <v>76</v>
      </c>
      <c r="D13" s="10">
        <f t="shared" si="0"/>
        <v>-7.894736842105263</v>
      </c>
      <c r="E13" s="14">
        <v>368</v>
      </c>
      <c r="F13" s="14">
        <v>465</v>
      </c>
      <c r="G13" s="10">
        <f t="shared" si="1"/>
        <v>-20.86021505376344</v>
      </c>
      <c r="H13" s="14">
        <v>19034</v>
      </c>
      <c r="I13" s="14">
        <v>17390</v>
      </c>
      <c r="J13" s="11">
        <f t="shared" si="2"/>
        <v>9.453709028177114</v>
      </c>
    </row>
    <row r="14" spans="1:10" ht="13.5">
      <c r="A14" s="12" t="s">
        <v>16</v>
      </c>
      <c r="B14" s="13">
        <v>119</v>
      </c>
      <c r="C14" s="13">
        <v>129</v>
      </c>
      <c r="D14" s="10">
        <f t="shared" si="0"/>
        <v>-7.751937984496124</v>
      </c>
      <c r="E14" s="14">
        <v>877</v>
      </c>
      <c r="F14" s="14">
        <v>882</v>
      </c>
      <c r="G14" s="10">
        <f t="shared" si="1"/>
        <v>-0.5668934240362812</v>
      </c>
      <c r="H14" s="14">
        <v>35345</v>
      </c>
      <c r="I14" s="14">
        <v>39661</v>
      </c>
      <c r="J14" s="11">
        <f t="shared" si="2"/>
        <v>-10.882226872746527</v>
      </c>
    </row>
    <row r="15" spans="1:10" ht="13.5">
      <c r="A15" s="12" t="s">
        <v>17</v>
      </c>
      <c r="B15" s="13">
        <v>61</v>
      </c>
      <c r="C15" s="13">
        <v>68</v>
      </c>
      <c r="D15" s="10">
        <f t="shared" si="0"/>
        <v>-10.294117647058822</v>
      </c>
      <c r="E15" s="14">
        <v>348</v>
      </c>
      <c r="F15" s="14">
        <v>455</v>
      </c>
      <c r="G15" s="10">
        <f t="shared" si="1"/>
        <v>-23.516483516483515</v>
      </c>
      <c r="H15" s="14">
        <v>26361</v>
      </c>
      <c r="I15" s="14">
        <v>20988</v>
      </c>
      <c r="J15" s="11">
        <f t="shared" si="2"/>
        <v>25.60034305317324</v>
      </c>
    </row>
    <row r="16" spans="1:10" ht="13.5">
      <c r="A16" s="12" t="s">
        <v>18</v>
      </c>
      <c r="B16" s="13">
        <v>31</v>
      </c>
      <c r="C16" s="13">
        <v>37</v>
      </c>
      <c r="D16" s="10">
        <f t="shared" si="0"/>
        <v>-16.216216216216218</v>
      </c>
      <c r="E16" s="14">
        <v>129</v>
      </c>
      <c r="F16" s="14">
        <v>136</v>
      </c>
      <c r="G16" s="10">
        <f t="shared" si="1"/>
        <v>-5.147058823529411</v>
      </c>
      <c r="H16" s="14">
        <v>3254</v>
      </c>
      <c r="I16" s="14">
        <v>8682</v>
      </c>
      <c r="J16" s="11">
        <f t="shared" si="2"/>
        <v>-62.52015664593412</v>
      </c>
    </row>
    <row r="17" spans="1:10" ht="13.5">
      <c r="A17" s="12"/>
      <c r="B17" s="13"/>
      <c r="C17" s="13"/>
      <c r="D17" s="10"/>
      <c r="E17" s="14"/>
      <c r="F17" s="14"/>
      <c r="G17" s="10"/>
      <c r="H17" s="14"/>
      <c r="I17" s="14"/>
      <c r="J17" s="11"/>
    </row>
    <row r="18" spans="1:10" ht="13.5">
      <c r="A18" s="8" t="s">
        <v>19</v>
      </c>
      <c r="B18" s="15">
        <v>311</v>
      </c>
      <c r="C18" s="15">
        <v>334</v>
      </c>
      <c r="D18" s="10">
        <f>(B18-C18)/C18*100</f>
        <v>-6.88622754491018</v>
      </c>
      <c r="E18" s="15">
        <v>1772</v>
      </c>
      <c r="F18" s="15">
        <v>2057</v>
      </c>
      <c r="G18" s="10">
        <f>(E18-F18)/F18*100</f>
        <v>-13.85512882839086</v>
      </c>
      <c r="H18" s="15">
        <v>60464</v>
      </c>
      <c r="I18" s="15">
        <v>88763</v>
      </c>
      <c r="J18" s="11">
        <f>(H18-I18)/I18*100</f>
        <v>-31.88152721291529</v>
      </c>
    </row>
    <row r="19" spans="1:10" ht="13.5">
      <c r="A19" s="12" t="s">
        <v>20</v>
      </c>
      <c r="B19" s="13">
        <v>9</v>
      </c>
      <c r="C19" s="13">
        <v>8</v>
      </c>
      <c r="D19" s="10">
        <f>(B19-C19)/C19*100</f>
        <v>12.5</v>
      </c>
      <c r="E19" s="14">
        <v>26</v>
      </c>
      <c r="F19" s="14">
        <v>26</v>
      </c>
      <c r="G19" s="10">
        <f>(E19-F19)/F19*100</f>
        <v>0</v>
      </c>
      <c r="H19" s="14">
        <v>1363</v>
      </c>
      <c r="I19" s="14">
        <v>533</v>
      </c>
      <c r="J19" s="11">
        <f>(H19-I19)/I19*100</f>
        <v>155.72232645403378</v>
      </c>
    </row>
    <row r="20" spans="1:10" ht="13.5">
      <c r="A20" s="12" t="s">
        <v>21</v>
      </c>
      <c r="B20" s="13">
        <v>6</v>
      </c>
      <c r="C20" s="13">
        <v>7</v>
      </c>
      <c r="D20" s="10">
        <f>(B20-C20)/C20*100</f>
        <v>-14.285714285714285</v>
      </c>
      <c r="E20" s="14">
        <v>13</v>
      </c>
      <c r="F20" s="14">
        <v>24</v>
      </c>
      <c r="G20" s="10">
        <f>(E20-F20)/F20*100</f>
        <v>-45.83333333333333</v>
      </c>
      <c r="H20" s="14">
        <v>225</v>
      </c>
      <c r="I20" s="14">
        <v>471</v>
      </c>
      <c r="J20" s="11">
        <f>(H20-I20)/I20*100</f>
        <v>-52.22929936305732</v>
      </c>
    </row>
    <row r="21" spans="1:10" ht="13.5">
      <c r="A21" s="12" t="s">
        <v>22</v>
      </c>
      <c r="B21" s="13">
        <v>10</v>
      </c>
      <c r="C21" s="13">
        <v>12</v>
      </c>
      <c r="D21" s="10">
        <f>(B21-C21)/C21*100</f>
        <v>-16.666666666666664</v>
      </c>
      <c r="E21" s="14">
        <v>35</v>
      </c>
      <c r="F21" s="14">
        <v>52</v>
      </c>
      <c r="G21" s="10">
        <f>(E21-F21)/F21*100</f>
        <v>-32.69230769230769</v>
      </c>
      <c r="H21" s="14">
        <v>773</v>
      </c>
      <c r="I21" s="14">
        <v>2990</v>
      </c>
      <c r="J21" s="11">
        <f>(H21-I21)/I21*100</f>
        <v>-74.14715719063545</v>
      </c>
    </row>
    <row r="22" spans="1:10" ht="13.5">
      <c r="A22" s="12" t="s">
        <v>23</v>
      </c>
      <c r="B22" s="13">
        <v>3</v>
      </c>
      <c r="C22" s="13">
        <v>2</v>
      </c>
      <c r="D22" s="10">
        <f>(B22-C22)/C22*100</f>
        <v>50</v>
      </c>
      <c r="E22" s="14">
        <v>8</v>
      </c>
      <c r="F22" s="14">
        <v>4</v>
      </c>
      <c r="G22" s="10">
        <f>(E22-F22)/F22*100</f>
        <v>100</v>
      </c>
      <c r="H22" s="14">
        <v>408</v>
      </c>
      <c r="I22" s="16" t="s">
        <v>65</v>
      </c>
      <c r="J22" s="23" t="s">
        <v>67</v>
      </c>
    </row>
    <row r="23" spans="1:10" ht="13.5">
      <c r="A23" s="12" t="s">
        <v>24</v>
      </c>
      <c r="B23" s="24" t="s">
        <v>67</v>
      </c>
      <c r="C23" s="24" t="s">
        <v>67</v>
      </c>
      <c r="D23" s="25" t="s">
        <v>67</v>
      </c>
      <c r="E23" s="16" t="s">
        <v>67</v>
      </c>
      <c r="F23" s="16" t="s">
        <v>67</v>
      </c>
      <c r="G23" s="25" t="s">
        <v>67</v>
      </c>
      <c r="H23" s="16" t="s">
        <v>67</v>
      </c>
      <c r="I23" s="16" t="s">
        <v>67</v>
      </c>
      <c r="J23" s="23" t="s">
        <v>67</v>
      </c>
    </row>
    <row r="24" spans="1:10" ht="13.5">
      <c r="A24" s="12" t="s">
        <v>25</v>
      </c>
      <c r="B24" s="13">
        <v>1</v>
      </c>
      <c r="C24" s="24" t="s">
        <v>67</v>
      </c>
      <c r="D24" s="25" t="s">
        <v>67</v>
      </c>
      <c r="E24" s="14">
        <v>6</v>
      </c>
      <c r="F24" s="25" t="s">
        <v>67</v>
      </c>
      <c r="G24" s="25" t="s">
        <v>67</v>
      </c>
      <c r="H24" s="16" t="s">
        <v>65</v>
      </c>
      <c r="I24" s="16" t="s">
        <v>67</v>
      </c>
      <c r="J24" s="23" t="s">
        <v>67</v>
      </c>
    </row>
    <row r="25" spans="1:10" ht="13.5">
      <c r="A25" s="12" t="s">
        <v>26</v>
      </c>
      <c r="B25" s="13">
        <v>7</v>
      </c>
      <c r="C25" s="13">
        <v>7</v>
      </c>
      <c r="D25" s="10">
        <f aca="true" t="shared" si="3" ref="D25:D32">(B25-C25)/C25*100</f>
        <v>0</v>
      </c>
      <c r="E25" s="14">
        <v>35</v>
      </c>
      <c r="F25" s="14">
        <v>38</v>
      </c>
      <c r="G25" s="10">
        <f aca="true" t="shared" si="4" ref="G25:G32">(E25-F25)/F25*100</f>
        <v>-7.894736842105263</v>
      </c>
      <c r="H25" s="14">
        <v>2618</v>
      </c>
      <c r="I25" s="14">
        <v>3423</v>
      </c>
      <c r="J25" s="11">
        <f aca="true" t="shared" si="5" ref="J25:J32">(H25-I25)/I25*100</f>
        <v>-23.517382413087933</v>
      </c>
    </row>
    <row r="26" spans="1:10" ht="13.5">
      <c r="A26" s="12" t="s">
        <v>27</v>
      </c>
      <c r="B26" s="13">
        <v>14</v>
      </c>
      <c r="C26" s="13">
        <v>17</v>
      </c>
      <c r="D26" s="10">
        <f t="shared" si="3"/>
        <v>-17.647058823529413</v>
      </c>
      <c r="E26" s="14">
        <v>136</v>
      </c>
      <c r="F26" s="14">
        <v>154</v>
      </c>
      <c r="G26" s="10">
        <f t="shared" si="4"/>
        <v>-11.688311688311687</v>
      </c>
      <c r="H26" s="14">
        <v>11798</v>
      </c>
      <c r="I26" s="14">
        <v>14054</v>
      </c>
      <c r="J26" s="11">
        <f t="shared" si="5"/>
        <v>-16.052369432190126</v>
      </c>
    </row>
    <row r="27" spans="1:10" ht="13.5">
      <c r="A27" s="12" t="s">
        <v>28</v>
      </c>
      <c r="B27" s="13">
        <v>5</v>
      </c>
      <c r="C27" s="13">
        <v>5</v>
      </c>
      <c r="D27" s="10">
        <f t="shared" si="3"/>
        <v>0</v>
      </c>
      <c r="E27" s="14">
        <v>23</v>
      </c>
      <c r="F27" s="14">
        <v>28</v>
      </c>
      <c r="G27" s="10">
        <f t="shared" si="4"/>
        <v>-17.857142857142858</v>
      </c>
      <c r="H27" s="14">
        <v>346</v>
      </c>
      <c r="I27" s="14">
        <v>339</v>
      </c>
      <c r="J27" s="11">
        <f t="shared" si="5"/>
        <v>2.0648967551622417</v>
      </c>
    </row>
    <row r="28" spans="1:10" ht="13.5">
      <c r="A28" s="12" t="s">
        <v>29</v>
      </c>
      <c r="B28" s="13">
        <v>39</v>
      </c>
      <c r="C28" s="13">
        <v>44</v>
      </c>
      <c r="D28" s="10">
        <f t="shared" si="3"/>
        <v>-11.363636363636363</v>
      </c>
      <c r="E28" s="14">
        <v>254</v>
      </c>
      <c r="F28" s="14">
        <v>210</v>
      </c>
      <c r="G28" s="10">
        <f t="shared" si="4"/>
        <v>20.952380952380953</v>
      </c>
      <c r="H28" s="14">
        <v>5966</v>
      </c>
      <c r="I28" s="14">
        <v>3537</v>
      </c>
      <c r="J28" s="11">
        <f t="shared" si="5"/>
        <v>68.67401752897936</v>
      </c>
    </row>
    <row r="29" spans="1:10" ht="13.5">
      <c r="A29" s="12" t="s">
        <v>30</v>
      </c>
      <c r="B29" s="13">
        <v>16</v>
      </c>
      <c r="C29" s="13">
        <v>18</v>
      </c>
      <c r="D29" s="10">
        <f t="shared" si="3"/>
        <v>-11.11111111111111</v>
      </c>
      <c r="E29" s="14">
        <v>148</v>
      </c>
      <c r="F29" s="14">
        <v>153</v>
      </c>
      <c r="G29" s="10">
        <f t="shared" si="4"/>
        <v>-3.2679738562091507</v>
      </c>
      <c r="H29" s="14">
        <v>4113</v>
      </c>
      <c r="I29" s="14">
        <v>5928</v>
      </c>
      <c r="J29" s="11">
        <f t="shared" si="5"/>
        <v>-30.61740890688259</v>
      </c>
    </row>
    <row r="30" spans="1:10" ht="13.5">
      <c r="A30" s="12" t="s">
        <v>31</v>
      </c>
      <c r="B30" s="13">
        <v>5</v>
      </c>
      <c r="C30" s="13">
        <v>5</v>
      </c>
      <c r="D30" s="10">
        <f t="shared" si="3"/>
        <v>0</v>
      </c>
      <c r="E30" s="14">
        <v>34</v>
      </c>
      <c r="F30" s="14">
        <v>27</v>
      </c>
      <c r="G30" s="10">
        <f t="shared" si="4"/>
        <v>25.925925925925924</v>
      </c>
      <c r="H30" s="14">
        <v>5223</v>
      </c>
      <c r="I30" s="14">
        <v>5986</v>
      </c>
      <c r="J30" s="11">
        <f t="shared" si="5"/>
        <v>-12.746408286000669</v>
      </c>
    </row>
    <row r="31" spans="1:10" ht="13.5">
      <c r="A31" s="12" t="s">
        <v>32</v>
      </c>
      <c r="B31" s="13">
        <v>4</v>
      </c>
      <c r="C31" s="13">
        <v>4</v>
      </c>
      <c r="D31" s="10">
        <f t="shared" si="3"/>
        <v>0</v>
      </c>
      <c r="E31" s="14">
        <v>14</v>
      </c>
      <c r="F31" s="14">
        <v>11</v>
      </c>
      <c r="G31" s="10">
        <f t="shared" si="4"/>
        <v>27.27272727272727</v>
      </c>
      <c r="H31" s="14">
        <v>261</v>
      </c>
      <c r="I31" s="14">
        <v>195</v>
      </c>
      <c r="J31" s="11">
        <f t="shared" si="5"/>
        <v>33.84615384615385</v>
      </c>
    </row>
    <row r="32" spans="1:10" ht="13.5">
      <c r="A32" s="12" t="s">
        <v>33</v>
      </c>
      <c r="B32" s="13">
        <v>8</v>
      </c>
      <c r="C32" s="13">
        <v>8</v>
      </c>
      <c r="D32" s="10">
        <f t="shared" si="3"/>
        <v>0</v>
      </c>
      <c r="E32" s="14">
        <v>92</v>
      </c>
      <c r="F32" s="14">
        <v>116</v>
      </c>
      <c r="G32" s="10">
        <f t="shared" si="4"/>
        <v>-20.689655172413794</v>
      </c>
      <c r="H32" s="14">
        <v>4141</v>
      </c>
      <c r="I32" s="14">
        <v>6033</v>
      </c>
      <c r="J32" s="11">
        <f t="shared" si="5"/>
        <v>-31.360848665672137</v>
      </c>
    </row>
    <row r="33" spans="1:10" ht="13.5">
      <c r="A33" s="12" t="s">
        <v>34</v>
      </c>
      <c r="B33" s="24" t="s">
        <v>67</v>
      </c>
      <c r="C33" s="24" t="s">
        <v>67</v>
      </c>
      <c r="D33" s="25" t="s">
        <v>67</v>
      </c>
      <c r="E33" s="16" t="s">
        <v>67</v>
      </c>
      <c r="F33" s="16" t="s">
        <v>67</v>
      </c>
      <c r="G33" s="25" t="s">
        <v>67</v>
      </c>
      <c r="H33" s="16" t="s">
        <v>67</v>
      </c>
      <c r="I33" s="16" t="s">
        <v>67</v>
      </c>
      <c r="J33" s="23" t="s">
        <v>67</v>
      </c>
    </row>
    <row r="34" spans="1:10" ht="13.5">
      <c r="A34" s="12" t="s">
        <v>35</v>
      </c>
      <c r="B34" s="13">
        <v>8</v>
      </c>
      <c r="C34" s="13">
        <v>10</v>
      </c>
      <c r="D34" s="10">
        <f>(B34-C34)/C34*100</f>
        <v>-20</v>
      </c>
      <c r="E34" s="14">
        <v>59</v>
      </c>
      <c r="F34" s="14">
        <v>51</v>
      </c>
      <c r="G34" s="10">
        <f>(E34-F34)/F34*100</f>
        <v>15.686274509803921</v>
      </c>
      <c r="H34" s="14">
        <v>1987</v>
      </c>
      <c r="I34" s="14">
        <v>1935</v>
      </c>
      <c r="J34" s="11">
        <f>(H34-I34)/I34*100</f>
        <v>2.6873385012919897</v>
      </c>
    </row>
    <row r="35" spans="1:10" ht="13.5">
      <c r="A35" s="12" t="s">
        <v>36</v>
      </c>
      <c r="B35" s="13">
        <v>6</v>
      </c>
      <c r="C35" s="13">
        <v>6</v>
      </c>
      <c r="D35" s="10">
        <f>(B35-C35)/C35*100</f>
        <v>0</v>
      </c>
      <c r="E35" s="14">
        <v>19</v>
      </c>
      <c r="F35" s="14">
        <v>23</v>
      </c>
      <c r="G35" s="10">
        <f>(E35-F35)/F35*100</f>
        <v>-17.391304347826086</v>
      </c>
      <c r="H35" s="14">
        <v>179</v>
      </c>
      <c r="I35" s="14">
        <v>257</v>
      </c>
      <c r="J35" s="11">
        <f>(H35-I35)/I35*100</f>
        <v>-30.35019455252918</v>
      </c>
    </row>
    <row r="36" spans="1:10" ht="13.5">
      <c r="A36" s="12" t="s">
        <v>37</v>
      </c>
      <c r="B36" s="13">
        <v>2</v>
      </c>
      <c r="C36" s="24" t="s">
        <v>67</v>
      </c>
      <c r="D36" s="25" t="s">
        <v>67</v>
      </c>
      <c r="E36" s="14">
        <v>10</v>
      </c>
      <c r="F36" s="25" t="s">
        <v>67</v>
      </c>
      <c r="G36" s="25" t="s">
        <v>67</v>
      </c>
      <c r="H36" s="16" t="s">
        <v>65</v>
      </c>
      <c r="I36" s="16" t="s">
        <v>67</v>
      </c>
      <c r="J36" s="23" t="s">
        <v>67</v>
      </c>
    </row>
    <row r="37" spans="1:10" ht="13.5">
      <c r="A37" s="12" t="s">
        <v>38</v>
      </c>
      <c r="B37" s="13">
        <v>1</v>
      </c>
      <c r="C37" s="13">
        <v>1</v>
      </c>
      <c r="D37" s="10">
        <f>(B37-C37)/C37*100</f>
        <v>0</v>
      </c>
      <c r="E37" s="14">
        <v>4</v>
      </c>
      <c r="F37" s="14">
        <v>5</v>
      </c>
      <c r="G37" s="10">
        <f>(E37-F37)/F37*100</f>
        <v>-20</v>
      </c>
      <c r="H37" s="16" t="s">
        <v>65</v>
      </c>
      <c r="I37" s="16" t="s">
        <v>65</v>
      </c>
      <c r="J37" s="23" t="s">
        <v>67</v>
      </c>
    </row>
    <row r="38" spans="1:10" ht="13.5">
      <c r="A38" s="12" t="s">
        <v>39</v>
      </c>
      <c r="B38" s="13">
        <v>3</v>
      </c>
      <c r="C38" s="13">
        <v>4</v>
      </c>
      <c r="D38" s="10">
        <f>(B38-C38)/C38*100</f>
        <v>-25</v>
      </c>
      <c r="E38" s="14">
        <v>25</v>
      </c>
      <c r="F38" s="14">
        <v>17</v>
      </c>
      <c r="G38" s="10">
        <f>(E38-F38)/F38*100</f>
        <v>47.05882352941176</v>
      </c>
      <c r="H38" s="14">
        <v>509</v>
      </c>
      <c r="I38" s="14">
        <v>252</v>
      </c>
      <c r="J38" s="11">
        <f>(H38-I38)/I38*100</f>
        <v>101.98412698412697</v>
      </c>
    </row>
    <row r="39" spans="1:10" ht="13.5">
      <c r="A39" s="12" t="s">
        <v>40</v>
      </c>
      <c r="B39" s="24" t="s">
        <v>67</v>
      </c>
      <c r="C39" s="24" t="s">
        <v>67</v>
      </c>
      <c r="D39" s="25" t="s">
        <v>67</v>
      </c>
      <c r="E39" s="24" t="s">
        <v>67</v>
      </c>
      <c r="F39" s="16" t="s">
        <v>67</v>
      </c>
      <c r="G39" s="25" t="s">
        <v>67</v>
      </c>
      <c r="H39" s="24" t="s">
        <v>67</v>
      </c>
      <c r="I39" s="16" t="s">
        <v>67</v>
      </c>
      <c r="J39" s="23" t="s">
        <v>67</v>
      </c>
    </row>
    <row r="40" spans="1:10" ht="13.5">
      <c r="A40" s="12" t="s">
        <v>41</v>
      </c>
      <c r="B40" s="24" t="s">
        <v>67</v>
      </c>
      <c r="C40" s="24" t="s">
        <v>67</v>
      </c>
      <c r="D40" s="25" t="s">
        <v>67</v>
      </c>
      <c r="E40" s="24" t="s">
        <v>67</v>
      </c>
      <c r="F40" s="16" t="s">
        <v>67</v>
      </c>
      <c r="G40" s="25" t="s">
        <v>67</v>
      </c>
      <c r="H40" s="24" t="s">
        <v>67</v>
      </c>
      <c r="I40" s="16" t="s">
        <v>67</v>
      </c>
      <c r="J40" s="23" t="s">
        <v>67</v>
      </c>
    </row>
    <row r="41" spans="1:10" ht="13.5">
      <c r="A41" s="12" t="s">
        <v>42</v>
      </c>
      <c r="B41" s="13">
        <v>26</v>
      </c>
      <c r="C41" s="13">
        <v>23</v>
      </c>
      <c r="D41" s="10">
        <f>(B41-C41)/C41*100</f>
        <v>13.043478260869565</v>
      </c>
      <c r="E41" s="14">
        <v>137</v>
      </c>
      <c r="F41" s="14">
        <v>139</v>
      </c>
      <c r="G41" s="10">
        <f>(E41-F41)/F41*100</f>
        <v>-1.4388489208633095</v>
      </c>
      <c r="H41" s="14">
        <v>6604</v>
      </c>
      <c r="I41" s="14">
        <v>7262</v>
      </c>
      <c r="J41" s="11">
        <f>(H41-I41)/I41*100</f>
        <v>-9.060864775543926</v>
      </c>
    </row>
    <row r="42" spans="1:10" ht="13.5">
      <c r="A42" s="12" t="s">
        <v>43</v>
      </c>
      <c r="B42" s="13">
        <v>4</v>
      </c>
      <c r="C42" s="13">
        <v>4</v>
      </c>
      <c r="D42" s="10">
        <f>(B42-C42)/C42*100</f>
        <v>0</v>
      </c>
      <c r="E42" s="14">
        <v>7</v>
      </c>
      <c r="F42" s="14">
        <v>5</v>
      </c>
      <c r="G42" s="10">
        <f>(E42-F42)/F42*100</f>
        <v>40</v>
      </c>
      <c r="H42" s="14">
        <v>27</v>
      </c>
      <c r="I42" s="14">
        <v>20</v>
      </c>
      <c r="J42" s="11">
        <f>(H42-I42)/I42*100</f>
        <v>35</v>
      </c>
    </row>
    <row r="43" spans="1:10" ht="13.5">
      <c r="A43" s="12" t="s">
        <v>44</v>
      </c>
      <c r="B43" s="13">
        <v>13</v>
      </c>
      <c r="C43" s="13">
        <v>13</v>
      </c>
      <c r="D43" s="10">
        <f>(B43-C43)/C43*100</f>
        <v>0</v>
      </c>
      <c r="E43" s="14">
        <v>126</v>
      </c>
      <c r="F43" s="14">
        <v>210</v>
      </c>
      <c r="G43" s="10">
        <f>(E43-F43)/F43*100</f>
        <v>-40</v>
      </c>
      <c r="H43" s="14">
        <v>1412</v>
      </c>
      <c r="I43" s="14">
        <v>19764</v>
      </c>
      <c r="J43" s="11">
        <f>(H43-I43)/I43*100</f>
        <v>-92.85569722728194</v>
      </c>
    </row>
    <row r="44" spans="1:10" ht="13.5">
      <c r="A44" s="12" t="s">
        <v>45</v>
      </c>
      <c r="B44" s="13">
        <v>5</v>
      </c>
      <c r="C44" s="13">
        <v>5</v>
      </c>
      <c r="D44" s="10">
        <f>(B44-C44)/C44*100</f>
        <v>0</v>
      </c>
      <c r="E44" s="14">
        <v>13</v>
      </c>
      <c r="F44" s="14">
        <v>12</v>
      </c>
      <c r="G44" s="10">
        <f>(E44-F44)/F44*100</f>
        <v>8.333333333333332</v>
      </c>
      <c r="H44" s="14">
        <v>152</v>
      </c>
      <c r="I44" s="14">
        <v>115</v>
      </c>
      <c r="J44" s="11">
        <f>(H44-I44)/I44*100</f>
        <v>32.17391304347826</v>
      </c>
    </row>
    <row r="45" spans="1:10" ht="13.5">
      <c r="A45" s="12" t="s">
        <v>46</v>
      </c>
      <c r="B45" s="25" t="s">
        <v>67</v>
      </c>
      <c r="C45" s="13">
        <v>3</v>
      </c>
      <c r="D45" s="25" t="s">
        <v>67</v>
      </c>
      <c r="E45" s="25" t="s">
        <v>67</v>
      </c>
      <c r="F45" s="14">
        <v>8</v>
      </c>
      <c r="G45" s="25" t="s">
        <v>67</v>
      </c>
      <c r="H45" s="24" t="s">
        <v>67</v>
      </c>
      <c r="I45" s="14">
        <v>131</v>
      </c>
      <c r="J45" s="24" t="s">
        <v>67</v>
      </c>
    </row>
    <row r="46" spans="1:10" ht="13.5">
      <c r="A46" s="12" t="s">
        <v>47</v>
      </c>
      <c r="B46" s="13">
        <v>11</v>
      </c>
      <c r="C46" s="13">
        <v>13</v>
      </c>
      <c r="D46" s="10">
        <f>(B46-C46)/C46*100</f>
        <v>-15.384615384615385</v>
      </c>
      <c r="E46" s="14">
        <v>38</v>
      </c>
      <c r="F46" s="14">
        <v>35</v>
      </c>
      <c r="G46" s="10">
        <f>(E46-F46)/F46*100</f>
        <v>8.571428571428571</v>
      </c>
      <c r="H46" s="14">
        <v>299</v>
      </c>
      <c r="I46" s="14">
        <v>388</v>
      </c>
      <c r="J46" s="11">
        <f>(H46-I46)/I46*100</f>
        <v>-22.938144329896907</v>
      </c>
    </row>
    <row r="47" spans="1:10" ht="13.5">
      <c r="A47" s="12" t="s">
        <v>48</v>
      </c>
      <c r="B47" s="13">
        <v>16</v>
      </c>
      <c r="C47" s="13">
        <v>19</v>
      </c>
      <c r="D47" s="10">
        <f>(B47-C47)/C47*100</f>
        <v>-15.789473684210526</v>
      </c>
      <c r="E47" s="14">
        <v>85</v>
      </c>
      <c r="F47" s="14">
        <v>123</v>
      </c>
      <c r="G47" s="10">
        <f>(E47-F47)/F47*100</f>
        <v>-30.89430894308943</v>
      </c>
      <c r="H47" s="14">
        <v>3084</v>
      </c>
      <c r="I47" s="14">
        <v>3119</v>
      </c>
      <c r="J47" s="11">
        <f>(H47-I47)/I47*100</f>
        <v>-1.1221545367104842</v>
      </c>
    </row>
    <row r="48" spans="1:10" ht="13.5">
      <c r="A48" s="12" t="s">
        <v>49</v>
      </c>
      <c r="B48" s="13">
        <v>9</v>
      </c>
      <c r="C48" s="13">
        <v>13</v>
      </c>
      <c r="D48" s="10">
        <f>(B48-C48)/C48*100</f>
        <v>-30.76923076923077</v>
      </c>
      <c r="E48" s="14">
        <v>86</v>
      </c>
      <c r="F48" s="14">
        <v>89</v>
      </c>
      <c r="G48" s="10">
        <f>(E48-F48)/F48*100</f>
        <v>-3.3707865168539324</v>
      </c>
      <c r="H48" s="14">
        <v>1177</v>
      </c>
      <c r="I48" s="14">
        <v>1417</v>
      </c>
      <c r="J48" s="11">
        <f>(H48-I48)/I48*100</f>
        <v>-16.937191249117856</v>
      </c>
    </row>
    <row r="49" spans="1:10" ht="13.5">
      <c r="A49" s="12" t="s">
        <v>50</v>
      </c>
      <c r="B49" s="13">
        <v>26</v>
      </c>
      <c r="C49" s="13">
        <v>34</v>
      </c>
      <c r="D49" s="10">
        <f>(B49-C49)/C49*100</f>
        <v>-23.52941176470588</v>
      </c>
      <c r="E49" s="14">
        <v>97</v>
      </c>
      <c r="F49" s="14">
        <v>148</v>
      </c>
      <c r="G49" s="10">
        <f>(E49-F49)/F49*100</f>
        <v>-34.45945945945946</v>
      </c>
      <c r="H49" s="14">
        <v>3212</v>
      </c>
      <c r="I49" s="14">
        <v>5571</v>
      </c>
      <c r="J49" s="11">
        <f>(H49-I49)/I49*100</f>
        <v>-42.34428289355591</v>
      </c>
    </row>
    <row r="50" spans="1:10" ht="13.5">
      <c r="A50" s="12" t="s">
        <v>51</v>
      </c>
      <c r="B50" s="13">
        <v>3</v>
      </c>
      <c r="C50" s="13">
        <v>2</v>
      </c>
      <c r="D50" s="10">
        <f>(B50-C50)/C50*100</f>
        <v>50</v>
      </c>
      <c r="E50" s="14">
        <v>4</v>
      </c>
      <c r="F50" s="14">
        <v>9</v>
      </c>
      <c r="G50" s="10">
        <f>(E50-F50)/F50*100</f>
        <v>-55.55555555555556</v>
      </c>
      <c r="H50" s="14">
        <v>9</v>
      </c>
      <c r="I50" s="16" t="s">
        <v>65</v>
      </c>
      <c r="J50" s="24" t="s">
        <v>67</v>
      </c>
    </row>
    <row r="51" spans="1:10" ht="13.5">
      <c r="A51" s="12" t="s">
        <v>52</v>
      </c>
      <c r="B51" s="24" t="s">
        <v>67</v>
      </c>
      <c r="C51" s="24" t="s">
        <v>67</v>
      </c>
      <c r="D51" s="25" t="s">
        <v>67</v>
      </c>
      <c r="E51" s="24" t="s">
        <v>67</v>
      </c>
      <c r="F51" s="16" t="s">
        <v>67</v>
      </c>
      <c r="G51" s="25" t="s">
        <v>67</v>
      </c>
      <c r="H51" s="24" t="s">
        <v>67</v>
      </c>
      <c r="I51" s="16" t="s">
        <v>67</v>
      </c>
      <c r="J51" s="23" t="s">
        <v>67</v>
      </c>
    </row>
    <row r="52" spans="1:10" ht="13.5">
      <c r="A52" s="12" t="s">
        <v>53</v>
      </c>
      <c r="B52" s="13">
        <v>5</v>
      </c>
      <c r="C52" s="13">
        <v>3</v>
      </c>
      <c r="D52" s="10">
        <f>(B52-C52)/C52*100</f>
        <v>66.66666666666666</v>
      </c>
      <c r="E52" s="14">
        <v>21</v>
      </c>
      <c r="F52" s="14">
        <v>5</v>
      </c>
      <c r="G52" s="10">
        <f>(E52-F52)/F52*100</f>
        <v>320</v>
      </c>
      <c r="H52" s="14">
        <v>375</v>
      </c>
      <c r="I52" s="14">
        <v>32</v>
      </c>
      <c r="J52" s="11">
        <f>(H52-I52)/I52*100</f>
        <v>1071.875</v>
      </c>
    </row>
    <row r="53" spans="1:10" ht="13.5">
      <c r="A53" s="12" t="s">
        <v>54</v>
      </c>
      <c r="B53" s="13">
        <v>7</v>
      </c>
      <c r="C53" s="13">
        <v>8</v>
      </c>
      <c r="D53" s="10">
        <f>(B53-C53)/C53*100</f>
        <v>-12.5</v>
      </c>
      <c r="E53" s="14">
        <v>18</v>
      </c>
      <c r="F53" s="14">
        <v>43</v>
      </c>
      <c r="G53" s="10">
        <f>(E53-F53)/F53*100</f>
        <v>-58.139534883720934</v>
      </c>
      <c r="H53" s="14">
        <v>354</v>
      </c>
      <c r="I53" s="14">
        <v>433</v>
      </c>
      <c r="J53" s="11">
        <f>(H53-I53)/I53*100</f>
        <v>-18.244803695150118</v>
      </c>
    </row>
    <row r="54" spans="1:10" ht="13.5">
      <c r="A54" s="12" t="s">
        <v>55</v>
      </c>
      <c r="B54" s="13">
        <v>1</v>
      </c>
      <c r="C54" s="24" t="s">
        <v>67</v>
      </c>
      <c r="D54" s="25" t="s">
        <v>67</v>
      </c>
      <c r="E54" s="14">
        <v>1</v>
      </c>
      <c r="F54" s="25" t="s">
        <v>67</v>
      </c>
      <c r="G54" s="25" t="s">
        <v>67</v>
      </c>
      <c r="H54" s="16" t="s">
        <v>65</v>
      </c>
      <c r="I54" s="16" t="s">
        <v>67</v>
      </c>
      <c r="J54" s="23" t="s">
        <v>67</v>
      </c>
    </row>
    <row r="55" spans="1:10" ht="13.5">
      <c r="A55" s="12" t="s">
        <v>56</v>
      </c>
      <c r="B55" s="13">
        <v>1</v>
      </c>
      <c r="C55" s="13">
        <v>4</v>
      </c>
      <c r="D55" s="10">
        <f aca="true" t="shared" si="6" ref="D55:D60">(B55-C55)/C55*100</f>
        <v>-75</v>
      </c>
      <c r="E55" s="14">
        <v>2</v>
      </c>
      <c r="F55" s="14">
        <v>32</v>
      </c>
      <c r="G55" s="10">
        <f aca="true" t="shared" si="7" ref="G55:G60">(E55-F55)/F55*100</f>
        <v>-93.75</v>
      </c>
      <c r="H55" s="16" t="s">
        <v>65</v>
      </c>
      <c r="I55" s="14">
        <v>591</v>
      </c>
      <c r="J55" s="23" t="s">
        <v>67</v>
      </c>
    </row>
    <row r="56" spans="1:10" ht="13.5">
      <c r="A56" s="12" t="s">
        <v>57</v>
      </c>
      <c r="B56" s="13">
        <v>6</v>
      </c>
      <c r="C56" s="13">
        <v>7</v>
      </c>
      <c r="D56" s="10">
        <f t="shared" si="6"/>
        <v>-14.285714285714285</v>
      </c>
      <c r="E56" s="14">
        <v>92</v>
      </c>
      <c r="F56" s="14">
        <v>178</v>
      </c>
      <c r="G56" s="10">
        <f t="shared" si="7"/>
        <v>-48.31460674157304</v>
      </c>
      <c r="H56" s="14">
        <v>2017</v>
      </c>
      <c r="I56" s="14">
        <v>2357</v>
      </c>
      <c r="J56" s="11">
        <f>(H56-I56)/I56*100</f>
        <v>-14.425116673737804</v>
      </c>
    </row>
    <row r="57" spans="1:10" ht="13.5">
      <c r="A57" s="12" t="s">
        <v>58</v>
      </c>
      <c r="B57" s="13">
        <v>1</v>
      </c>
      <c r="C57" s="13">
        <v>2</v>
      </c>
      <c r="D57" s="10">
        <f t="shared" si="6"/>
        <v>-50</v>
      </c>
      <c r="E57" s="14">
        <v>6</v>
      </c>
      <c r="F57" s="14">
        <v>8</v>
      </c>
      <c r="G57" s="10">
        <f t="shared" si="7"/>
        <v>-25</v>
      </c>
      <c r="H57" s="16" t="s">
        <v>65</v>
      </c>
      <c r="I57" s="16" t="s">
        <v>65</v>
      </c>
      <c r="J57" s="23" t="s">
        <v>67</v>
      </c>
    </row>
    <row r="58" spans="1:10" ht="13.5">
      <c r="A58" s="12" t="s">
        <v>59</v>
      </c>
      <c r="B58" s="13">
        <v>17</v>
      </c>
      <c r="C58" s="13">
        <v>16</v>
      </c>
      <c r="D58" s="10">
        <f t="shared" si="6"/>
        <v>6.25</v>
      </c>
      <c r="E58" s="14">
        <v>69</v>
      </c>
      <c r="F58" s="14">
        <v>58</v>
      </c>
      <c r="G58" s="10">
        <f t="shared" si="7"/>
        <v>18.96551724137931</v>
      </c>
      <c r="H58" s="14">
        <v>956</v>
      </c>
      <c r="I58" s="14">
        <v>898</v>
      </c>
      <c r="J58" s="11">
        <f>(H58-I58)/I58*100</f>
        <v>6.45879732739421</v>
      </c>
    </row>
    <row r="59" spans="1:10" ht="13.5">
      <c r="A59" s="12" t="s">
        <v>60</v>
      </c>
      <c r="B59" s="13">
        <v>7</v>
      </c>
      <c r="C59" s="13">
        <v>5</v>
      </c>
      <c r="D59" s="10">
        <f t="shared" si="6"/>
        <v>40</v>
      </c>
      <c r="E59" s="14">
        <v>16</v>
      </c>
      <c r="F59" s="14">
        <v>9</v>
      </c>
      <c r="G59" s="10">
        <f t="shared" si="7"/>
        <v>77.77777777777779</v>
      </c>
      <c r="H59" s="14">
        <v>351</v>
      </c>
      <c r="I59" s="14">
        <v>307</v>
      </c>
      <c r="J59" s="11">
        <f>(H59-I59)/I59*100</f>
        <v>14.332247557003258</v>
      </c>
    </row>
    <row r="60" spans="1:10" ht="13.5">
      <c r="A60" s="12" t="s">
        <v>61</v>
      </c>
      <c r="B60" s="13">
        <v>3</v>
      </c>
      <c r="C60" s="13">
        <v>2</v>
      </c>
      <c r="D60" s="10">
        <f t="shared" si="6"/>
        <v>50</v>
      </c>
      <c r="E60" s="14">
        <v>6</v>
      </c>
      <c r="F60" s="14">
        <v>7</v>
      </c>
      <c r="G60" s="10">
        <f t="shared" si="7"/>
        <v>-14.285714285714285</v>
      </c>
      <c r="H60" s="14">
        <v>138</v>
      </c>
      <c r="I60" s="16" t="s">
        <v>66</v>
      </c>
      <c r="J60" s="23" t="s">
        <v>67</v>
      </c>
    </row>
    <row r="61" spans="1:10" ht="13.5">
      <c r="A61" s="12" t="s">
        <v>62</v>
      </c>
      <c r="B61" s="13">
        <v>2</v>
      </c>
      <c r="C61" s="24" t="s">
        <v>67</v>
      </c>
      <c r="D61" s="25" t="s">
        <v>67</v>
      </c>
      <c r="E61" s="14">
        <v>6</v>
      </c>
      <c r="F61" s="25" t="s">
        <v>67</v>
      </c>
      <c r="G61" s="25" t="s">
        <v>67</v>
      </c>
      <c r="H61" s="16" t="s">
        <v>65</v>
      </c>
      <c r="I61" s="16" t="s">
        <v>67</v>
      </c>
      <c r="J61" s="23" t="s">
        <v>67</v>
      </c>
    </row>
    <row r="62" spans="1:10" ht="14.25" thickBot="1">
      <c r="A62" s="17" t="s">
        <v>63</v>
      </c>
      <c r="B62" s="18">
        <v>1</v>
      </c>
      <c r="C62" s="26" t="s">
        <v>67</v>
      </c>
      <c r="D62" s="26" t="s">
        <v>67</v>
      </c>
      <c r="E62" s="20">
        <v>1</v>
      </c>
      <c r="F62" s="26" t="s">
        <v>67</v>
      </c>
      <c r="G62" s="26" t="s">
        <v>67</v>
      </c>
      <c r="H62" s="21" t="s">
        <v>65</v>
      </c>
      <c r="I62" s="21" t="s">
        <v>67</v>
      </c>
      <c r="J62" s="27" t="s">
        <v>67</v>
      </c>
    </row>
  </sheetData>
  <mergeCells count="1">
    <mergeCell ref="A3:A4"/>
  </mergeCells>
  <printOptions/>
  <pageMargins left="0.75" right="0.75" top="0.66" bottom="0.46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"/>
    </sheetView>
  </sheetViews>
  <sheetFormatPr defaultColWidth="9.00390625" defaultRowHeight="13.5"/>
  <cols>
    <col min="1" max="1" width="14.125" style="0" customWidth="1"/>
  </cols>
  <sheetData>
    <row r="1" spans="1:10" ht="13.5">
      <c r="A1" s="1" t="s">
        <v>68</v>
      </c>
      <c r="B1" s="1"/>
      <c r="C1" s="1"/>
      <c r="D1" s="1"/>
      <c r="E1" s="1"/>
      <c r="F1" s="1"/>
      <c r="G1" s="1"/>
      <c r="H1" s="2"/>
      <c r="I1" s="2"/>
      <c r="J1" s="2"/>
    </row>
    <row r="2" spans="1:10" ht="14.25" thickBot="1">
      <c r="A2" s="3"/>
      <c r="B2" s="3"/>
      <c r="C2" s="3"/>
      <c r="D2" s="3"/>
      <c r="E2" s="2"/>
      <c r="F2" s="2"/>
      <c r="G2" s="2" t="s">
        <v>1</v>
      </c>
      <c r="H2" s="2"/>
      <c r="I2" s="2"/>
      <c r="J2" s="2"/>
    </row>
    <row r="3" spans="1:10" ht="13.5">
      <c r="A3" s="41"/>
      <c r="B3" s="4" t="s">
        <v>2</v>
      </c>
      <c r="C3" s="4"/>
      <c r="D3" s="4"/>
      <c r="E3" s="4" t="s">
        <v>3</v>
      </c>
      <c r="F3" s="4"/>
      <c r="G3" s="4"/>
      <c r="H3" s="4" t="s">
        <v>4</v>
      </c>
      <c r="I3" s="4"/>
      <c r="J3" s="5"/>
    </row>
    <row r="4" spans="1:10" ht="13.5">
      <c r="A4" s="42"/>
      <c r="B4" s="6" t="s">
        <v>5</v>
      </c>
      <c r="C4" s="6" t="s">
        <v>6</v>
      </c>
      <c r="D4" s="6" t="s">
        <v>7</v>
      </c>
      <c r="E4" s="6" t="s">
        <v>5</v>
      </c>
      <c r="F4" s="6" t="s">
        <v>6</v>
      </c>
      <c r="G4" s="6" t="s">
        <v>7</v>
      </c>
      <c r="H4" s="6" t="s">
        <v>5</v>
      </c>
      <c r="I4" s="6" t="s">
        <v>6</v>
      </c>
      <c r="J4" s="7" t="s">
        <v>7</v>
      </c>
    </row>
    <row r="5" spans="1:10" ht="13.5">
      <c r="A5" s="8" t="s">
        <v>8</v>
      </c>
      <c r="B5" s="9">
        <f>SUM(B7,B18)</f>
        <v>11237</v>
      </c>
      <c r="C5" s="9">
        <f>C7+C18</f>
        <v>12752</v>
      </c>
      <c r="D5" s="10">
        <f>(B5-C5)/C5*100</f>
        <v>-11.880489335006274</v>
      </c>
      <c r="E5" s="9">
        <f>SUM(E7,E18)</f>
        <v>54238</v>
      </c>
      <c r="F5" s="9">
        <f>F7+F18</f>
        <v>57744</v>
      </c>
      <c r="G5" s="10">
        <f>(E5-F5)/F5*100</f>
        <v>-6.071626489332225</v>
      </c>
      <c r="H5" s="9">
        <v>809872</v>
      </c>
      <c r="I5" s="9">
        <f>I7+I18</f>
        <v>868706</v>
      </c>
      <c r="J5" s="11">
        <f>(H5-I5)/I5*100</f>
        <v>-6.7726020080441485</v>
      </c>
    </row>
    <row r="6" spans="1:10" ht="13.5">
      <c r="A6" s="8"/>
      <c r="B6" s="9"/>
      <c r="C6" s="9"/>
      <c r="D6" s="10"/>
      <c r="E6" s="9"/>
      <c r="F6" s="9"/>
      <c r="G6" s="10"/>
      <c r="H6" s="9"/>
      <c r="I6" s="9"/>
      <c r="J6" s="11"/>
    </row>
    <row r="7" spans="1:12" ht="13.5">
      <c r="A7" s="8" t="s">
        <v>9</v>
      </c>
      <c r="B7" s="9">
        <f>SUM(B8:B16)</f>
        <v>7692</v>
      </c>
      <c r="C7" s="9">
        <f>SUM(C8:C16)</f>
        <v>8818</v>
      </c>
      <c r="D7" s="10">
        <f aca="true" t="shared" si="0" ref="D7:D16">(B7-C7)/C7*100</f>
        <v>-12.769335450215468</v>
      </c>
      <c r="E7" s="9">
        <f>SUM(E8:E16)</f>
        <v>41069</v>
      </c>
      <c r="F7" s="9">
        <f>SUM(F8:F16)</f>
        <v>44367</v>
      </c>
      <c r="G7" s="10">
        <f aca="true" t="shared" si="1" ref="G7:G16">(E7-F7)/F7*100</f>
        <v>-7.43345279148917</v>
      </c>
      <c r="H7" s="9">
        <v>660704</v>
      </c>
      <c r="I7" s="9">
        <f>SUM(I8:I16)</f>
        <v>708156</v>
      </c>
      <c r="J7" s="11">
        <f aca="true" t="shared" si="2" ref="J7:J16">(H7-I7)/I7*100</f>
        <v>-6.700783443196132</v>
      </c>
      <c r="L7" s="28"/>
    </row>
    <row r="8" spans="1:10" ht="13.5">
      <c r="A8" s="12" t="s">
        <v>10</v>
      </c>
      <c r="B8" s="13">
        <v>4052</v>
      </c>
      <c r="C8" s="13">
        <v>4711</v>
      </c>
      <c r="D8" s="10">
        <f t="shared" si="0"/>
        <v>-13.988537465506262</v>
      </c>
      <c r="E8" s="14">
        <v>25298</v>
      </c>
      <c r="F8" s="14">
        <v>27692</v>
      </c>
      <c r="G8" s="10">
        <f t="shared" si="1"/>
        <v>-8.645096056622851</v>
      </c>
      <c r="H8" s="14">
        <v>429268</v>
      </c>
      <c r="I8" s="14">
        <v>464206</v>
      </c>
      <c r="J8" s="11">
        <f t="shared" si="2"/>
        <v>-7.5263999172781055</v>
      </c>
    </row>
    <row r="9" spans="1:10" ht="13.5">
      <c r="A9" s="12" t="s">
        <v>11</v>
      </c>
      <c r="B9" s="13">
        <v>370</v>
      </c>
      <c r="C9" s="13">
        <v>408</v>
      </c>
      <c r="D9" s="10">
        <f t="shared" si="0"/>
        <v>-9.313725490196079</v>
      </c>
      <c r="E9" s="14">
        <v>1169</v>
      </c>
      <c r="F9" s="14">
        <v>1244</v>
      </c>
      <c r="G9" s="10">
        <f t="shared" si="1"/>
        <v>-6.028938906752412</v>
      </c>
      <c r="H9" s="14">
        <v>12621</v>
      </c>
      <c r="I9" s="14">
        <v>14540</v>
      </c>
      <c r="J9" s="11">
        <f t="shared" si="2"/>
        <v>-13.198074277854197</v>
      </c>
    </row>
    <row r="10" spans="1:10" ht="13.5">
      <c r="A10" s="12" t="s">
        <v>12</v>
      </c>
      <c r="B10" s="13">
        <v>347</v>
      </c>
      <c r="C10" s="13">
        <v>406</v>
      </c>
      <c r="D10" s="10">
        <f t="shared" si="0"/>
        <v>-14.532019704433496</v>
      </c>
      <c r="E10" s="14">
        <v>1601</v>
      </c>
      <c r="F10" s="14">
        <v>1726</v>
      </c>
      <c r="G10" s="10">
        <f t="shared" si="1"/>
        <v>-7.242178447276941</v>
      </c>
      <c r="H10" s="14">
        <v>25262</v>
      </c>
      <c r="I10" s="14">
        <v>26646</v>
      </c>
      <c r="J10" s="11">
        <f t="shared" si="2"/>
        <v>-5.194025369661488</v>
      </c>
    </row>
    <row r="11" spans="1:10" ht="13.5">
      <c r="A11" s="12" t="s">
        <v>13</v>
      </c>
      <c r="B11" s="13">
        <v>547</v>
      </c>
      <c r="C11" s="13">
        <v>635</v>
      </c>
      <c r="D11" s="10">
        <f t="shared" si="0"/>
        <v>-13.858267716535433</v>
      </c>
      <c r="E11" s="14">
        <v>3020</v>
      </c>
      <c r="F11" s="14">
        <v>3290</v>
      </c>
      <c r="G11" s="10">
        <f t="shared" si="1"/>
        <v>-8.206686930091186</v>
      </c>
      <c r="H11" s="14">
        <v>51764</v>
      </c>
      <c r="I11" s="14">
        <v>53603</v>
      </c>
      <c r="J11" s="11">
        <f t="shared" si="2"/>
        <v>-3.430778128089846</v>
      </c>
    </row>
    <row r="12" spans="1:10" ht="13.5">
      <c r="A12" s="12" t="s">
        <v>14</v>
      </c>
      <c r="B12" s="13">
        <v>442</v>
      </c>
      <c r="C12" s="13">
        <v>497</v>
      </c>
      <c r="D12" s="10">
        <f t="shared" si="0"/>
        <v>-11.066398390342053</v>
      </c>
      <c r="E12" s="14">
        <v>1969</v>
      </c>
      <c r="F12" s="14">
        <v>2035</v>
      </c>
      <c r="G12" s="10">
        <f t="shared" si="1"/>
        <v>-3.2432432432432434</v>
      </c>
      <c r="H12" s="14">
        <v>26131</v>
      </c>
      <c r="I12" s="14">
        <v>27630</v>
      </c>
      <c r="J12" s="11">
        <f t="shared" si="2"/>
        <v>-5.425262395946435</v>
      </c>
    </row>
    <row r="13" spans="1:10" ht="13.5">
      <c r="A13" s="12" t="s">
        <v>15</v>
      </c>
      <c r="B13" s="13">
        <v>472</v>
      </c>
      <c r="C13" s="13">
        <v>545</v>
      </c>
      <c r="D13" s="10">
        <f t="shared" si="0"/>
        <v>-13.394495412844037</v>
      </c>
      <c r="E13" s="14">
        <v>1988</v>
      </c>
      <c r="F13" s="14">
        <v>2238</v>
      </c>
      <c r="G13" s="10">
        <f t="shared" si="1"/>
        <v>-11.170688114387845</v>
      </c>
      <c r="H13" s="14">
        <v>28289</v>
      </c>
      <c r="I13" s="14">
        <v>32920</v>
      </c>
      <c r="J13" s="11">
        <f t="shared" si="2"/>
        <v>-14.067436208991493</v>
      </c>
    </row>
    <row r="14" spans="1:10" ht="13.5">
      <c r="A14" s="12" t="s">
        <v>16</v>
      </c>
      <c r="B14" s="13">
        <v>663</v>
      </c>
      <c r="C14" s="13">
        <v>708</v>
      </c>
      <c r="D14" s="10">
        <f t="shared" si="0"/>
        <v>-6.3559322033898304</v>
      </c>
      <c r="E14" s="14">
        <v>3136</v>
      </c>
      <c r="F14" s="14">
        <v>3016</v>
      </c>
      <c r="G14" s="10">
        <f t="shared" si="1"/>
        <v>3.978779840848806</v>
      </c>
      <c r="H14" s="14">
        <v>50077</v>
      </c>
      <c r="I14" s="14">
        <v>50100</v>
      </c>
      <c r="J14" s="11">
        <f t="shared" si="2"/>
        <v>-0.04590818363273453</v>
      </c>
    </row>
    <row r="15" spans="1:10" ht="13.5">
      <c r="A15" s="12" t="s">
        <v>17</v>
      </c>
      <c r="B15" s="13">
        <v>443</v>
      </c>
      <c r="C15" s="13">
        <v>495</v>
      </c>
      <c r="D15" s="10">
        <f t="shared" si="0"/>
        <v>-10.505050505050505</v>
      </c>
      <c r="E15" s="14">
        <v>1792</v>
      </c>
      <c r="F15" s="14">
        <v>1912</v>
      </c>
      <c r="G15" s="10">
        <f t="shared" si="1"/>
        <v>-6.2761506276150625</v>
      </c>
      <c r="H15" s="14">
        <v>24603</v>
      </c>
      <c r="I15" s="14">
        <v>24326</v>
      </c>
      <c r="J15" s="11">
        <f t="shared" si="2"/>
        <v>1.1386993340458769</v>
      </c>
    </row>
    <row r="16" spans="1:10" ht="13.5">
      <c r="A16" s="12" t="s">
        <v>18</v>
      </c>
      <c r="B16" s="13">
        <v>356</v>
      </c>
      <c r="C16" s="13">
        <v>413</v>
      </c>
      <c r="D16" s="10">
        <f t="shared" si="0"/>
        <v>-13.801452784503631</v>
      </c>
      <c r="E16" s="14">
        <v>1096</v>
      </c>
      <c r="F16" s="14">
        <v>1214</v>
      </c>
      <c r="G16" s="10">
        <f t="shared" si="1"/>
        <v>-9.71993410214168</v>
      </c>
      <c r="H16" s="14">
        <v>12688</v>
      </c>
      <c r="I16" s="14">
        <v>14185</v>
      </c>
      <c r="J16" s="11">
        <f t="shared" si="2"/>
        <v>-10.553401480437081</v>
      </c>
    </row>
    <row r="17" spans="1:10" ht="13.5">
      <c r="A17" s="12"/>
      <c r="B17" s="13"/>
      <c r="C17" s="13"/>
      <c r="D17" s="10"/>
      <c r="E17" s="14"/>
      <c r="F17" s="14"/>
      <c r="G17" s="10"/>
      <c r="H17" s="14"/>
      <c r="I17" s="14"/>
      <c r="J17" s="11"/>
    </row>
    <row r="18" spans="1:10" ht="13.5">
      <c r="A18" s="8" t="s">
        <v>19</v>
      </c>
      <c r="B18" s="15">
        <v>3545</v>
      </c>
      <c r="C18" s="15">
        <v>3934</v>
      </c>
      <c r="D18" s="10">
        <f aca="true" t="shared" si="3" ref="D18:D62">(B18-C18)/C18*100</f>
        <v>-9.888154550076258</v>
      </c>
      <c r="E18" s="15">
        <v>13169</v>
      </c>
      <c r="F18" s="15">
        <v>13377</v>
      </c>
      <c r="G18" s="10">
        <f aca="true" t="shared" si="4" ref="G18:G62">(E18-F18)/F18*100</f>
        <v>-1.5549076773566568</v>
      </c>
      <c r="H18" s="15">
        <v>149168</v>
      </c>
      <c r="I18" s="15">
        <v>160550</v>
      </c>
      <c r="J18" s="11">
        <f>(H18-I18)/I18*100</f>
        <v>-7.089380255372159</v>
      </c>
    </row>
    <row r="19" spans="1:10" ht="13.5">
      <c r="A19" s="12" t="s">
        <v>20</v>
      </c>
      <c r="B19" s="13">
        <v>79</v>
      </c>
      <c r="C19" s="13">
        <v>95</v>
      </c>
      <c r="D19" s="10">
        <f t="shared" si="3"/>
        <v>-16.842105263157894</v>
      </c>
      <c r="E19" s="14">
        <v>176</v>
      </c>
      <c r="F19" s="14">
        <v>172</v>
      </c>
      <c r="G19" s="10">
        <f t="shared" si="4"/>
        <v>2.3255813953488373</v>
      </c>
      <c r="H19" s="14">
        <v>1584</v>
      </c>
      <c r="I19" s="14">
        <v>1649</v>
      </c>
      <c r="J19" s="11">
        <f>(H19-I19)/I19*100</f>
        <v>-3.9417828987265007</v>
      </c>
    </row>
    <row r="20" spans="1:10" ht="13.5">
      <c r="A20" s="12" t="s">
        <v>21</v>
      </c>
      <c r="B20" s="13">
        <v>70</v>
      </c>
      <c r="C20" s="13">
        <v>78</v>
      </c>
      <c r="D20" s="10">
        <f t="shared" si="3"/>
        <v>-10.256410256410255</v>
      </c>
      <c r="E20" s="14">
        <v>233</v>
      </c>
      <c r="F20" s="14">
        <v>258</v>
      </c>
      <c r="G20" s="10">
        <f t="shared" si="4"/>
        <v>-9.689922480620156</v>
      </c>
      <c r="H20" s="14">
        <v>2396</v>
      </c>
      <c r="I20" s="14">
        <v>3647</v>
      </c>
      <c r="J20" s="11">
        <f>(H20-I20)/I20*100</f>
        <v>-34.30216616397039</v>
      </c>
    </row>
    <row r="21" spans="1:10" ht="13.5">
      <c r="A21" s="12" t="s">
        <v>22</v>
      </c>
      <c r="B21" s="13">
        <v>64</v>
      </c>
      <c r="C21" s="13">
        <v>67</v>
      </c>
      <c r="D21" s="10">
        <f t="shared" si="3"/>
        <v>-4.477611940298507</v>
      </c>
      <c r="E21" s="14">
        <v>243</v>
      </c>
      <c r="F21" s="14">
        <v>196</v>
      </c>
      <c r="G21" s="10">
        <f t="shared" si="4"/>
        <v>23.97959183673469</v>
      </c>
      <c r="H21" s="14">
        <v>3082</v>
      </c>
      <c r="I21" s="14">
        <v>2219</v>
      </c>
      <c r="J21" s="11">
        <f>(H21-I21)/I21*100</f>
        <v>38.891392519152774</v>
      </c>
    </row>
    <row r="22" spans="1:10" ht="13.5">
      <c r="A22" s="12" t="s">
        <v>23</v>
      </c>
      <c r="B22" s="13">
        <v>74</v>
      </c>
      <c r="C22" s="13">
        <v>75</v>
      </c>
      <c r="D22" s="10">
        <f t="shared" si="3"/>
        <v>-1.3333333333333335</v>
      </c>
      <c r="E22" s="14">
        <v>187</v>
      </c>
      <c r="F22" s="14">
        <v>202</v>
      </c>
      <c r="G22" s="10">
        <f t="shared" si="4"/>
        <v>-7.425742574257425</v>
      </c>
      <c r="H22" s="14">
        <v>2177</v>
      </c>
      <c r="I22" s="16" t="s">
        <v>65</v>
      </c>
      <c r="J22" s="23" t="s">
        <v>67</v>
      </c>
    </row>
    <row r="23" spans="1:10" ht="13.5">
      <c r="A23" s="12" t="s">
        <v>24</v>
      </c>
      <c r="B23" s="13">
        <v>14</v>
      </c>
      <c r="C23" s="13">
        <v>18</v>
      </c>
      <c r="D23" s="10">
        <f t="shared" si="3"/>
        <v>-22.22222222222222</v>
      </c>
      <c r="E23" s="14">
        <v>44</v>
      </c>
      <c r="F23" s="14">
        <v>43</v>
      </c>
      <c r="G23" s="10">
        <f t="shared" si="4"/>
        <v>2.3255813953488373</v>
      </c>
      <c r="H23" s="14">
        <v>346</v>
      </c>
      <c r="I23" s="14">
        <v>615</v>
      </c>
      <c r="J23" s="11">
        <f>(H23-I23)/I23*100</f>
        <v>-43.73983739837398</v>
      </c>
    </row>
    <row r="24" spans="1:10" ht="13.5">
      <c r="A24" s="12" t="s">
        <v>25</v>
      </c>
      <c r="B24" s="13">
        <v>11</v>
      </c>
      <c r="C24" s="13">
        <v>15</v>
      </c>
      <c r="D24" s="10">
        <f t="shared" si="3"/>
        <v>-26.666666666666668</v>
      </c>
      <c r="E24" s="14">
        <v>39</v>
      </c>
      <c r="F24" s="14">
        <v>45</v>
      </c>
      <c r="G24" s="10">
        <f t="shared" si="4"/>
        <v>-13.333333333333334</v>
      </c>
      <c r="H24" s="16" t="s">
        <v>65</v>
      </c>
      <c r="I24" s="14">
        <v>414</v>
      </c>
      <c r="J24" s="23" t="s">
        <v>67</v>
      </c>
    </row>
    <row r="25" spans="1:10" ht="13.5">
      <c r="A25" s="12" t="s">
        <v>26</v>
      </c>
      <c r="B25" s="13">
        <v>60</v>
      </c>
      <c r="C25" s="13">
        <v>65</v>
      </c>
      <c r="D25" s="10">
        <f t="shared" si="3"/>
        <v>-7.6923076923076925</v>
      </c>
      <c r="E25" s="14">
        <v>268</v>
      </c>
      <c r="F25" s="14">
        <v>222</v>
      </c>
      <c r="G25" s="10">
        <f t="shared" si="4"/>
        <v>20.72072072072072</v>
      </c>
      <c r="H25" s="14">
        <v>2988</v>
      </c>
      <c r="I25" s="14">
        <v>3181</v>
      </c>
      <c r="J25" s="11">
        <f aca="true" t="shared" si="5" ref="J25:J35">(H25-I25)/I25*100</f>
        <v>-6.067274441999372</v>
      </c>
    </row>
    <row r="26" spans="1:10" ht="13.5">
      <c r="A26" s="12" t="s">
        <v>27</v>
      </c>
      <c r="B26" s="13">
        <v>78</v>
      </c>
      <c r="C26" s="13">
        <v>91</v>
      </c>
      <c r="D26" s="10">
        <f t="shared" si="3"/>
        <v>-14.285714285714285</v>
      </c>
      <c r="E26" s="14">
        <v>370</v>
      </c>
      <c r="F26" s="14">
        <v>320</v>
      </c>
      <c r="G26" s="10">
        <f t="shared" si="4"/>
        <v>15.625</v>
      </c>
      <c r="H26" s="14">
        <v>5138</v>
      </c>
      <c r="I26" s="14">
        <v>3177</v>
      </c>
      <c r="J26" s="11">
        <f t="shared" si="5"/>
        <v>61.72489770223481</v>
      </c>
    </row>
    <row r="27" spans="1:10" ht="13.5">
      <c r="A27" s="12" t="s">
        <v>28</v>
      </c>
      <c r="B27" s="13">
        <v>42</v>
      </c>
      <c r="C27" s="13">
        <v>41</v>
      </c>
      <c r="D27" s="10">
        <f t="shared" si="3"/>
        <v>2.4390243902439024</v>
      </c>
      <c r="E27" s="14">
        <v>155</v>
      </c>
      <c r="F27" s="14">
        <v>130</v>
      </c>
      <c r="G27" s="10">
        <f t="shared" si="4"/>
        <v>19.230769230769234</v>
      </c>
      <c r="H27" s="14">
        <v>1870</v>
      </c>
      <c r="I27" s="14">
        <v>1632</v>
      </c>
      <c r="J27" s="11">
        <f t="shared" si="5"/>
        <v>14.583333333333334</v>
      </c>
    </row>
    <row r="28" spans="1:10" ht="13.5">
      <c r="A28" s="12" t="s">
        <v>29</v>
      </c>
      <c r="B28" s="13">
        <v>281</v>
      </c>
      <c r="C28" s="13">
        <v>317</v>
      </c>
      <c r="D28" s="10">
        <f t="shared" si="3"/>
        <v>-11.35646687697161</v>
      </c>
      <c r="E28" s="14">
        <v>1479</v>
      </c>
      <c r="F28" s="14">
        <v>1511</v>
      </c>
      <c r="G28" s="10">
        <f t="shared" si="4"/>
        <v>-2.1178027796161483</v>
      </c>
      <c r="H28" s="14">
        <v>15970</v>
      </c>
      <c r="I28" s="14">
        <v>18937</v>
      </c>
      <c r="J28" s="11">
        <f t="shared" si="5"/>
        <v>-15.667740402386862</v>
      </c>
    </row>
    <row r="29" spans="1:10" ht="13.5">
      <c r="A29" s="12" t="s">
        <v>30</v>
      </c>
      <c r="B29" s="13">
        <v>201</v>
      </c>
      <c r="C29" s="13">
        <v>228</v>
      </c>
      <c r="D29" s="10">
        <f t="shared" si="3"/>
        <v>-11.842105263157894</v>
      </c>
      <c r="E29" s="14">
        <v>928</v>
      </c>
      <c r="F29" s="14">
        <v>1127</v>
      </c>
      <c r="G29" s="10">
        <f t="shared" si="4"/>
        <v>-17.657497781721386</v>
      </c>
      <c r="H29" s="14">
        <v>14047</v>
      </c>
      <c r="I29" s="14">
        <v>16325</v>
      </c>
      <c r="J29" s="11">
        <f t="shared" si="5"/>
        <v>-13.954058192955591</v>
      </c>
    </row>
    <row r="30" spans="1:10" ht="13.5">
      <c r="A30" s="12" t="s">
        <v>31</v>
      </c>
      <c r="B30" s="13">
        <v>62</v>
      </c>
      <c r="C30" s="13">
        <v>78</v>
      </c>
      <c r="D30" s="10">
        <f t="shared" si="3"/>
        <v>-20.51282051282051</v>
      </c>
      <c r="E30" s="14">
        <v>230</v>
      </c>
      <c r="F30" s="14">
        <v>231</v>
      </c>
      <c r="G30" s="10">
        <f t="shared" si="4"/>
        <v>-0.4329004329004329</v>
      </c>
      <c r="H30" s="14">
        <v>2212</v>
      </c>
      <c r="I30" s="14">
        <v>2704</v>
      </c>
      <c r="J30" s="11">
        <f t="shared" si="5"/>
        <v>-18.19526627218935</v>
      </c>
    </row>
    <row r="31" spans="1:10" ht="13.5">
      <c r="A31" s="12" t="s">
        <v>32</v>
      </c>
      <c r="B31" s="13">
        <v>78</v>
      </c>
      <c r="C31" s="13">
        <v>85</v>
      </c>
      <c r="D31" s="10">
        <f t="shared" si="3"/>
        <v>-8.235294117647058</v>
      </c>
      <c r="E31" s="14">
        <v>265</v>
      </c>
      <c r="F31" s="14">
        <v>224</v>
      </c>
      <c r="G31" s="10">
        <f t="shared" si="4"/>
        <v>18.303571428571427</v>
      </c>
      <c r="H31" s="14">
        <v>2232</v>
      </c>
      <c r="I31" s="14">
        <v>2153</v>
      </c>
      <c r="J31" s="11">
        <f t="shared" si="5"/>
        <v>3.669298653042267</v>
      </c>
    </row>
    <row r="32" spans="1:10" ht="13.5">
      <c r="A32" s="12" t="s">
        <v>33</v>
      </c>
      <c r="B32" s="13">
        <v>9</v>
      </c>
      <c r="C32" s="13">
        <v>13</v>
      </c>
      <c r="D32" s="10">
        <f t="shared" si="3"/>
        <v>-30.76923076923077</v>
      </c>
      <c r="E32" s="14">
        <v>28</v>
      </c>
      <c r="F32" s="14">
        <v>34</v>
      </c>
      <c r="G32" s="10">
        <f t="shared" si="4"/>
        <v>-17.647058823529413</v>
      </c>
      <c r="H32" s="14">
        <v>190</v>
      </c>
      <c r="I32" s="14">
        <v>216</v>
      </c>
      <c r="J32" s="11">
        <f t="shared" si="5"/>
        <v>-12.037037037037036</v>
      </c>
    </row>
    <row r="33" spans="1:10" ht="14.25" customHeight="1">
      <c r="A33" s="12" t="s">
        <v>34</v>
      </c>
      <c r="B33" s="13">
        <v>45</v>
      </c>
      <c r="C33" s="13">
        <v>54</v>
      </c>
      <c r="D33" s="10">
        <f t="shared" si="3"/>
        <v>-16.666666666666664</v>
      </c>
      <c r="E33" s="14">
        <v>115</v>
      </c>
      <c r="F33" s="14">
        <v>129</v>
      </c>
      <c r="G33" s="10">
        <f t="shared" si="4"/>
        <v>-10.852713178294573</v>
      </c>
      <c r="H33" s="14">
        <v>1238</v>
      </c>
      <c r="I33" s="14">
        <v>1456</v>
      </c>
      <c r="J33" s="11">
        <f t="shared" si="5"/>
        <v>-14.972527472527473</v>
      </c>
    </row>
    <row r="34" spans="1:10" ht="13.5">
      <c r="A34" s="12" t="s">
        <v>35</v>
      </c>
      <c r="B34" s="13">
        <v>77</v>
      </c>
      <c r="C34" s="13">
        <v>92</v>
      </c>
      <c r="D34" s="10">
        <f t="shared" si="3"/>
        <v>-16.304347826086957</v>
      </c>
      <c r="E34" s="14">
        <v>258</v>
      </c>
      <c r="F34" s="14">
        <v>273</v>
      </c>
      <c r="G34" s="10">
        <f t="shared" si="4"/>
        <v>-5.4945054945054945</v>
      </c>
      <c r="H34" s="14">
        <v>2401</v>
      </c>
      <c r="I34" s="14">
        <v>2741</v>
      </c>
      <c r="J34" s="11">
        <f t="shared" si="5"/>
        <v>-12.404232032105071</v>
      </c>
    </row>
    <row r="35" spans="1:10" ht="13.5">
      <c r="A35" s="12" t="s">
        <v>36</v>
      </c>
      <c r="B35" s="13">
        <v>106</v>
      </c>
      <c r="C35" s="13">
        <v>121</v>
      </c>
      <c r="D35" s="10">
        <f t="shared" si="3"/>
        <v>-12.396694214876034</v>
      </c>
      <c r="E35" s="14">
        <v>273</v>
      </c>
      <c r="F35" s="14">
        <v>294</v>
      </c>
      <c r="G35" s="10">
        <f t="shared" si="4"/>
        <v>-7.142857142857142</v>
      </c>
      <c r="H35" s="14">
        <v>3025</v>
      </c>
      <c r="I35" s="14">
        <v>3415</v>
      </c>
      <c r="J35" s="11">
        <f t="shared" si="5"/>
        <v>-11.420204978038068</v>
      </c>
    </row>
    <row r="36" spans="1:10" ht="13.5">
      <c r="A36" s="12" t="s">
        <v>37</v>
      </c>
      <c r="B36" s="13">
        <v>11</v>
      </c>
      <c r="C36" s="13">
        <v>15</v>
      </c>
      <c r="D36" s="10">
        <f t="shared" si="3"/>
        <v>-26.666666666666668</v>
      </c>
      <c r="E36" s="14">
        <v>32</v>
      </c>
      <c r="F36" s="14">
        <v>53</v>
      </c>
      <c r="G36" s="10">
        <f t="shared" si="4"/>
        <v>-39.62264150943396</v>
      </c>
      <c r="H36" s="16" t="s">
        <v>65</v>
      </c>
      <c r="I36" s="14">
        <v>540</v>
      </c>
      <c r="J36" s="23" t="s">
        <v>67</v>
      </c>
    </row>
    <row r="37" spans="1:10" ht="13.5">
      <c r="A37" s="12" t="s">
        <v>38</v>
      </c>
      <c r="B37" s="13">
        <v>9</v>
      </c>
      <c r="C37" s="13">
        <v>9</v>
      </c>
      <c r="D37" s="10">
        <f t="shared" si="3"/>
        <v>0</v>
      </c>
      <c r="E37" s="14">
        <v>24</v>
      </c>
      <c r="F37" s="14">
        <v>20</v>
      </c>
      <c r="G37" s="10">
        <f t="shared" si="4"/>
        <v>20</v>
      </c>
      <c r="H37" s="16" t="s">
        <v>65</v>
      </c>
      <c r="I37" s="16" t="s">
        <v>65</v>
      </c>
      <c r="J37" s="23" t="s">
        <v>67</v>
      </c>
    </row>
    <row r="38" spans="1:10" ht="13.5">
      <c r="A38" s="12" t="s">
        <v>39</v>
      </c>
      <c r="B38" s="13">
        <v>74</v>
      </c>
      <c r="C38" s="13">
        <v>76</v>
      </c>
      <c r="D38" s="10">
        <f t="shared" si="3"/>
        <v>-2.631578947368421</v>
      </c>
      <c r="E38" s="14">
        <v>385</v>
      </c>
      <c r="F38" s="14">
        <v>322</v>
      </c>
      <c r="G38" s="10">
        <f t="shared" si="4"/>
        <v>19.565217391304348</v>
      </c>
      <c r="H38" s="14">
        <v>4457</v>
      </c>
      <c r="I38" s="14">
        <v>5033</v>
      </c>
      <c r="J38" s="11">
        <f aca="true" t="shared" si="6" ref="J38:J49">(H38-I38)/I38*100</f>
        <v>-11.444466520961653</v>
      </c>
    </row>
    <row r="39" spans="1:10" ht="13.5">
      <c r="A39" s="12" t="s">
        <v>40</v>
      </c>
      <c r="B39" s="13">
        <v>6</v>
      </c>
      <c r="C39" s="13">
        <v>7</v>
      </c>
      <c r="D39" s="10">
        <f t="shared" si="3"/>
        <v>-14.285714285714285</v>
      </c>
      <c r="E39" s="14">
        <v>11</v>
      </c>
      <c r="F39" s="14">
        <v>11</v>
      </c>
      <c r="G39" s="10">
        <f t="shared" si="4"/>
        <v>0</v>
      </c>
      <c r="H39" s="14">
        <v>72</v>
      </c>
      <c r="I39" s="14">
        <v>69</v>
      </c>
      <c r="J39" s="11">
        <f t="shared" si="6"/>
        <v>4.3478260869565215</v>
      </c>
    </row>
    <row r="40" spans="1:10" ht="13.5">
      <c r="A40" s="12" t="s">
        <v>41</v>
      </c>
      <c r="B40" s="13">
        <v>12</v>
      </c>
      <c r="C40" s="13">
        <v>10</v>
      </c>
      <c r="D40" s="10">
        <f t="shared" si="3"/>
        <v>20</v>
      </c>
      <c r="E40" s="14">
        <v>22</v>
      </c>
      <c r="F40" s="14">
        <v>18</v>
      </c>
      <c r="G40" s="10">
        <f t="shared" si="4"/>
        <v>22.22222222222222</v>
      </c>
      <c r="H40" s="14">
        <v>345</v>
      </c>
      <c r="I40" s="14">
        <v>353</v>
      </c>
      <c r="J40" s="11">
        <f t="shared" si="6"/>
        <v>-2.26628895184136</v>
      </c>
    </row>
    <row r="41" spans="1:10" ht="13.5">
      <c r="A41" s="12" t="s">
        <v>42</v>
      </c>
      <c r="B41" s="13">
        <v>271</v>
      </c>
      <c r="C41" s="13">
        <v>278</v>
      </c>
      <c r="D41" s="10">
        <f t="shared" si="3"/>
        <v>-2.5179856115107913</v>
      </c>
      <c r="E41" s="14">
        <v>1336</v>
      </c>
      <c r="F41" s="14">
        <v>1325</v>
      </c>
      <c r="G41" s="10">
        <f t="shared" si="4"/>
        <v>0.8301886792452831</v>
      </c>
      <c r="H41" s="14">
        <v>14871</v>
      </c>
      <c r="I41" s="14">
        <v>12491</v>
      </c>
      <c r="J41" s="11">
        <f t="shared" si="6"/>
        <v>19.053718677447762</v>
      </c>
    </row>
    <row r="42" spans="1:10" ht="13.5">
      <c r="A42" s="12" t="s">
        <v>43</v>
      </c>
      <c r="B42" s="13">
        <v>39</v>
      </c>
      <c r="C42" s="13">
        <v>40</v>
      </c>
      <c r="D42" s="10">
        <f t="shared" si="3"/>
        <v>-2.5</v>
      </c>
      <c r="E42" s="14">
        <v>83</v>
      </c>
      <c r="F42" s="14">
        <v>76</v>
      </c>
      <c r="G42" s="10">
        <f t="shared" si="4"/>
        <v>9.210526315789473</v>
      </c>
      <c r="H42" s="14">
        <v>699</v>
      </c>
      <c r="I42" s="14">
        <v>823</v>
      </c>
      <c r="J42" s="11">
        <f t="shared" si="6"/>
        <v>-15.066828675577156</v>
      </c>
    </row>
    <row r="43" spans="1:10" ht="13.5">
      <c r="A43" s="12" t="s">
        <v>44</v>
      </c>
      <c r="B43" s="13">
        <v>137</v>
      </c>
      <c r="C43" s="13">
        <v>149</v>
      </c>
      <c r="D43" s="10">
        <f t="shared" si="3"/>
        <v>-8.053691275167784</v>
      </c>
      <c r="E43" s="14">
        <v>543</v>
      </c>
      <c r="F43" s="14">
        <v>531</v>
      </c>
      <c r="G43" s="10">
        <f t="shared" si="4"/>
        <v>2.2598870056497176</v>
      </c>
      <c r="H43" s="14">
        <v>6636</v>
      </c>
      <c r="I43" s="14">
        <v>8953</v>
      </c>
      <c r="J43" s="11">
        <f t="shared" si="6"/>
        <v>-25.879593432369035</v>
      </c>
    </row>
    <row r="44" spans="1:10" ht="13.5">
      <c r="A44" s="12" t="s">
        <v>45</v>
      </c>
      <c r="B44" s="13">
        <v>59</v>
      </c>
      <c r="C44" s="13">
        <v>72</v>
      </c>
      <c r="D44" s="10">
        <f t="shared" si="3"/>
        <v>-18.055555555555554</v>
      </c>
      <c r="E44" s="14">
        <v>123</v>
      </c>
      <c r="F44" s="14">
        <v>141</v>
      </c>
      <c r="G44" s="10">
        <f t="shared" si="4"/>
        <v>-12.76595744680851</v>
      </c>
      <c r="H44" s="14">
        <v>1038</v>
      </c>
      <c r="I44" s="14">
        <v>1182</v>
      </c>
      <c r="J44" s="11">
        <f t="shared" si="6"/>
        <v>-12.18274111675127</v>
      </c>
    </row>
    <row r="45" spans="1:10" ht="13.5">
      <c r="A45" s="12" t="s">
        <v>46</v>
      </c>
      <c r="B45" s="13">
        <v>51</v>
      </c>
      <c r="C45" s="13">
        <v>55</v>
      </c>
      <c r="D45" s="10">
        <f t="shared" si="3"/>
        <v>-7.2727272727272725</v>
      </c>
      <c r="E45" s="14">
        <v>112</v>
      </c>
      <c r="F45" s="14">
        <v>100</v>
      </c>
      <c r="G45" s="10">
        <f t="shared" si="4"/>
        <v>12</v>
      </c>
      <c r="H45" s="14">
        <v>867</v>
      </c>
      <c r="I45" s="14">
        <v>839</v>
      </c>
      <c r="J45" s="11">
        <f t="shared" si="6"/>
        <v>3.3373063170441</v>
      </c>
    </row>
    <row r="46" spans="1:10" ht="13.5">
      <c r="A46" s="12" t="s">
        <v>47</v>
      </c>
      <c r="B46" s="13">
        <v>159</v>
      </c>
      <c r="C46" s="13">
        <v>184</v>
      </c>
      <c r="D46" s="10">
        <f t="shared" si="3"/>
        <v>-13.586956521739129</v>
      </c>
      <c r="E46" s="14">
        <v>508</v>
      </c>
      <c r="F46" s="14">
        <v>553</v>
      </c>
      <c r="G46" s="10">
        <f t="shared" si="4"/>
        <v>-8.1374321880651</v>
      </c>
      <c r="H46" s="14">
        <v>4756</v>
      </c>
      <c r="I46" s="14">
        <v>4797</v>
      </c>
      <c r="J46" s="11">
        <f t="shared" si="6"/>
        <v>-0.8547008547008548</v>
      </c>
    </row>
    <row r="47" spans="1:10" ht="13.5">
      <c r="A47" s="12" t="s">
        <v>48</v>
      </c>
      <c r="B47" s="13">
        <v>168</v>
      </c>
      <c r="C47" s="13">
        <v>187</v>
      </c>
      <c r="D47" s="10">
        <f t="shared" si="3"/>
        <v>-10.16042780748663</v>
      </c>
      <c r="E47" s="14">
        <v>836</v>
      </c>
      <c r="F47" s="14">
        <v>829</v>
      </c>
      <c r="G47" s="10">
        <f t="shared" si="4"/>
        <v>0.8443908323281062</v>
      </c>
      <c r="H47" s="14">
        <v>11566</v>
      </c>
      <c r="I47" s="14">
        <v>11309</v>
      </c>
      <c r="J47" s="11">
        <f t="shared" si="6"/>
        <v>2.2725263064815633</v>
      </c>
    </row>
    <row r="48" spans="1:10" ht="13.5">
      <c r="A48" s="12" t="s">
        <v>49</v>
      </c>
      <c r="B48" s="13">
        <v>120</v>
      </c>
      <c r="C48" s="13">
        <v>135</v>
      </c>
      <c r="D48" s="10">
        <f t="shared" si="3"/>
        <v>-11.11111111111111</v>
      </c>
      <c r="E48" s="14">
        <v>439</v>
      </c>
      <c r="F48" s="14">
        <v>455</v>
      </c>
      <c r="G48" s="10">
        <f t="shared" si="4"/>
        <v>-3.5164835164835164</v>
      </c>
      <c r="H48" s="14">
        <v>5695</v>
      </c>
      <c r="I48" s="14">
        <v>5933</v>
      </c>
      <c r="J48" s="11">
        <f t="shared" si="6"/>
        <v>-4.011461318051576</v>
      </c>
    </row>
    <row r="49" spans="1:10" ht="13.5">
      <c r="A49" s="12" t="s">
        <v>50</v>
      </c>
      <c r="B49" s="13">
        <v>284</v>
      </c>
      <c r="C49" s="13">
        <v>309</v>
      </c>
      <c r="D49" s="10">
        <f t="shared" si="3"/>
        <v>-8.090614886731391</v>
      </c>
      <c r="E49" s="14">
        <v>1096</v>
      </c>
      <c r="F49" s="14">
        <v>1180</v>
      </c>
      <c r="G49" s="10">
        <f t="shared" si="4"/>
        <v>-7.118644067796611</v>
      </c>
      <c r="H49" s="14">
        <v>14335</v>
      </c>
      <c r="I49" s="14">
        <v>14569</v>
      </c>
      <c r="J49" s="11">
        <f t="shared" si="6"/>
        <v>-1.6061500446152792</v>
      </c>
    </row>
    <row r="50" spans="1:10" ht="13.5">
      <c r="A50" s="12" t="s">
        <v>51</v>
      </c>
      <c r="B50" s="13">
        <v>84</v>
      </c>
      <c r="C50" s="13">
        <v>92</v>
      </c>
      <c r="D50" s="10">
        <f t="shared" si="3"/>
        <v>-8.695652173913043</v>
      </c>
      <c r="E50" s="14">
        <v>197</v>
      </c>
      <c r="F50" s="14">
        <v>196</v>
      </c>
      <c r="G50" s="10">
        <f t="shared" si="4"/>
        <v>0.5102040816326531</v>
      </c>
      <c r="H50" s="14">
        <v>2005</v>
      </c>
      <c r="I50" s="16" t="s">
        <v>65</v>
      </c>
      <c r="J50" s="23" t="s">
        <v>67</v>
      </c>
    </row>
    <row r="51" spans="1:10" ht="13.5">
      <c r="A51" s="12" t="s">
        <v>52</v>
      </c>
      <c r="B51" s="13">
        <v>26</v>
      </c>
      <c r="C51" s="13">
        <v>25</v>
      </c>
      <c r="D51" s="10">
        <f t="shared" si="3"/>
        <v>4</v>
      </c>
      <c r="E51" s="14">
        <v>77</v>
      </c>
      <c r="F51" s="14">
        <v>47</v>
      </c>
      <c r="G51" s="10">
        <f t="shared" si="4"/>
        <v>63.829787234042556</v>
      </c>
      <c r="H51" s="14">
        <v>344</v>
      </c>
      <c r="I51" s="14">
        <v>675</v>
      </c>
      <c r="J51" s="11">
        <f>(H51-I51)/I51*100</f>
        <v>-49.03703703703704</v>
      </c>
    </row>
    <row r="52" spans="1:10" ht="13.5">
      <c r="A52" s="12" t="s">
        <v>53</v>
      </c>
      <c r="B52" s="13">
        <v>57</v>
      </c>
      <c r="C52" s="13">
        <v>66</v>
      </c>
      <c r="D52" s="10">
        <f t="shared" si="3"/>
        <v>-13.636363636363635</v>
      </c>
      <c r="E52" s="14">
        <v>136</v>
      </c>
      <c r="F52" s="14">
        <v>143</v>
      </c>
      <c r="G52" s="10">
        <f t="shared" si="4"/>
        <v>-4.895104895104895</v>
      </c>
      <c r="H52" s="14">
        <v>1138</v>
      </c>
      <c r="I52" s="14">
        <v>1529</v>
      </c>
      <c r="J52" s="11">
        <f>(H52-I52)/I52*100</f>
        <v>-25.572269457161546</v>
      </c>
    </row>
    <row r="53" spans="1:10" ht="13.5">
      <c r="A53" s="12" t="s">
        <v>54</v>
      </c>
      <c r="B53" s="13">
        <v>46</v>
      </c>
      <c r="C53" s="13">
        <v>52</v>
      </c>
      <c r="D53" s="10">
        <f t="shared" si="3"/>
        <v>-11.538461538461538</v>
      </c>
      <c r="E53" s="14">
        <v>194</v>
      </c>
      <c r="F53" s="14">
        <v>199</v>
      </c>
      <c r="G53" s="10">
        <f t="shared" si="4"/>
        <v>-2.512562814070352</v>
      </c>
      <c r="H53" s="14">
        <v>2141</v>
      </c>
      <c r="I53" s="14">
        <v>2506</v>
      </c>
      <c r="J53" s="11">
        <f>(H53-I53)/I53*100</f>
        <v>-14.565043894652833</v>
      </c>
    </row>
    <row r="54" spans="1:10" ht="13.5">
      <c r="A54" s="12" t="s">
        <v>55</v>
      </c>
      <c r="B54" s="13">
        <v>41</v>
      </c>
      <c r="C54" s="13">
        <v>40</v>
      </c>
      <c r="D54" s="10">
        <f t="shared" si="3"/>
        <v>2.5</v>
      </c>
      <c r="E54" s="14">
        <v>114</v>
      </c>
      <c r="F54" s="14">
        <v>102</v>
      </c>
      <c r="G54" s="10">
        <f t="shared" si="4"/>
        <v>11.76470588235294</v>
      </c>
      <c r="H54" s="16" t="s">
        <v>65</v>
      </c>
      <c r="I54" s="14">
        <v>900</v>
      </c>
      <c r="J54" s="23" t="s">
        <v>67</v>
      </c>
    </row>
    <row r="55" spans="1:10" ht="13.5">
      <c r="A55" s="12" t="s">
        <v>56</v>
      </c>
      <c r="B55" s="13">
        <v>59</v>
      </c>
      <c r="C55" s="13">
        <v>68</v>
      </c>
      <c r="D55" s="10">
        <f t="shared" si="3"/>
        <v>-13.23529411764706</v>
      </c>
      <c r="E55" s="14">
        <v>243</v>
      </c>
      <c r="F55" s="14">
        <v>246</v>
      </c>
      <c r="G55" s="10">
        <f t="shared" si="4"/>
        <v>-1.2195121951219512</v>
      </c>
      <c r="H55" s="16" t="s">
        <v>65</v>
      </c>
      <c r="I55" s="14">
        <v>3202</v>
      </c>
      <c r="J55" s="23" t="s">
        <v>67</v>
      </c>
    </row>
    <row r="56" spans="1:10" ht="13.5">
      <c r="A56" s="12" t="s">
        <v>57</v>
      </c>
      <c r="B56" s="13">
        <v>61</v>
      </c>
      <c r="C56" s="13">
        <v>64</v>
      </c>
      <c r="D56" s="10">
        <f t="shared" si="3"/>
        <v>-4.6875</v>
      </c>
      <c r="E56" s="14">
        <v>195</v>
      </c>
      <c r="F56" s="14">
        <v>208</v>
      </c>
      <c r="G56" s="10">
        <f t="shared" si="4"/>
        <v>-6.25</v>
      </c>
      <c r="H56" s="14">
        <v>1762</v>
      </c>
      <c r="I56" s="14">
        <v>2484</v>
      </c>
      <c r="J56" s="11">
        <f>(H56-I56)/I56*100</f>
        <v>-29.066022544283417</v>
      </c>
    </row>
    <row r="57" spans="1:10" ht="13.5">
      <c r="A57" s="12" t="s">
        <v>58</v>
      </c>
      <c r="B57" s="13">
        <v>57</v>
      </c>
      <c r="C57" s="13">
        <v>67</v>
      </c>
      <c r="D57" s="10">
        <f t="shared" si="3"/>
        <v>-14.925373134328357</v>
      </c>
      <c r="E57" s="14">
        <v>157</v>
      </c>
      <c r="F57" s="14">
        <v>148</v>
      </c>
      <c r="G57" s="10">
        <f t="shared" si="4"/>
        <v>6.081081081081082</v>
      </c>
      <c r="H57" s="16" t="s">
        <v>65</v>
      </c>
      <c r="I57" s="16" t="s">
        <v>65</v>
      </c>
      <c r="J57" s="23" t="s">
        <v>67</v>
      </c>
    </row>
    <row r="58" spans="1:10" ht="13.5">
      <c r="A58" s="12" t="s">
        <v>59</v>
      </c>
      <c r="B58" s="13">
        <v>128</v>
      </c>
      <c r="C58" s="13">
        <v>141</v>
      </c>
      <c r="D58" s="10">
        <f t="shared" si="3"/>
        <v>-9.219858156028367</v>
      </c>
      <c r="E58" s="14">
        <v>396</v>
      </c>
      <c r="F58" s="14">
        <v>439</v>
      </c>
      <c r="G58" s="10">
        <f t="shared" si="4"/>
        <v>-9.79498861047836</v>
      </c>
      <c r="H58" s="14">
        <v>4603</v>
      </c>
      <c r="I58" s="14">
        <v>5384</v>
      </c>
      <c r="J58" s="11">
        <f>(H58-I58)/I58*100</f>
        <v>-14.505943536404162</v>
      </c>
    </row>
    <row r="59" spans="1:10" ht="13.5">
      <c r="A59" s="12" t="s">
        <v>60</v>
      </c>
      <c r="B59" s="13">
        <v>97</v>
      </c>
      <c r="C59" s="13">
        <v>112</v>
      </c>
      <c r="D59" s="10">
        <f t="shared" si="3"/>
        <v>-13.392857142857142</v>
      </c>
      <c r="E59" s="14">
        <v>229</v>
      </c>
      <c r="F59" s="14">
        <v>273</v>
      </c>
      <c r="G59" s="10">
        <f t="shared" si="4"/>
        <v>-16.117216117216117</v>
      </c>
      <c r="H59" s="14">
        <v>1848</v>
      </c>
      <c r="I59" s="14">
        <v>2803</v>
      </c>
      <c r="J59" s="11">
        <f>(H59-I59)/I59*100</f>
        <v>-34.070638601498395</v>
      </c>
    </row>
    <row r="60" spans="1:10" ht="13.5">
      <c r="A60" s="12" t="s">
        <v>61</v>
      </c>
      <c r="B60" s="13">
        <v>52</v>
      </c>
      <c r="C60" s="13">
        <v>50</v>
      </c>
      <c r="D60" s="10">
        <f t="shared" si="3"/>
        <v>4</v>
      </c>
      <c r="E60" s="14">
        <v>138</v>
      </c>
      <c r="F60" s="14">
        <v>121</v>
      </c>
      <c r="G60" s="10">
        <f t="shared" si="4"/>
        <v>14.049586776859504</v>
      </c>
      <c r="H60" s="14">
        <v>1279</v>
      </c>
      <c r="I60" s="16" t="s">
        <v>65</v>
      </c>
      <c r="J60" s="23" t="s">
        <v>67</v>
      </c>
    </row>
    <row r="61" spans="1:10" ht="13.5">
      <c r="A61" s="12" t="s">
        <v>62</v>
      </c>
      <c r="B61" s="13">
        <v>59</v>
      </c>
      <c r="C61" s="13">
        <v>65</v>
      </c>
      <c r="D61" s="10">
        <f t="shared" si="3"/>
        <v>-9.230769230769232</v>
      </c>
      <c r="E61" s="14">
        <v>165</v>
      </c>
      <c r="F61" s="14">
        <v>157</v>
      </c>
      <c r="G61" s="10">
        <f t="shared" si="4"/>
        <v>5.095541401273886</v>
      </c>
      <c r="H61" s="16" t="s">
        <v>65</v>
      </c>
      <c r="I61" s="14">
        <v>1371</v>
      </c>
      <c r="J61" s="23" t="s">
        <v>67</v>
      </c>
    </row>
    <row r="62" spans="1:10" ht="14.25" thickBot="1">
      <c r="A62" s="17" t="s">
        <v>63</v>
      </c>
      <c r="B62" s="18">
        <v>27</v>
      </c>
      <c r="C62" s="18">
        <v>33</v>
      </c>
      <c r="D62" s="19">
        <f t="shared" si="3"/>
        <v>-18.181818181818183</v>
      </c>
      <c r="E62" s="20">
        <v>87</v>
      </c>
      <c r="F62" s="20">
        <v>73</v>
      </c>
      <c r="G62" s="19">
        <f t="shared" si="4"/>
        <v>19.17808219178082</v>
      </c>
      <c r="H62" s="21" t="s">
        <v>66</v>
      </c>
      <c r="I62" s="20">
        <v>362</v>
      </c>
      <c r="J62" s="27" t="s">
        <v>67</v>
      </c>
    </row>
  </sheetData>
  <mergeCells count="1">
    <mergeCell ref="A3:A4"/>
  </mergeCells>
  <printOptions/>
  <pageMargins left="0.79" right="0.75" top="0.73" bottom="0.54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2004-12-20T05:27:30Z</cp:lastPrinted>
  <dcterms:created xsi:type="dcterms:W3CDTF">2003-04-24T01:02:12Z</dcterms:created>
  <dcterms:modified xsi:type="dcterms:W3CDTF">2004-12-20T05:27:47Z</dcterms:modified>
  <cp:category/>
  <cp:version/>
  <cp:contentType/>
  <cp:contentStatus/>
</cp:coreProperties>
</file>